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705" yWindow="705" windowWidth="9870" windowHeight="11655" tabRatio="737" firstSheet="1" activeTab="1"/>
  </bookViews>
  <sheets>
    <sheet name="Heizanleitung" sheetId="16" state="hidden" r:id="rId1"/>
    <sheet name="Berechnung" sheetId="3" r:id="rId2"/>
    <sheet name="BRENNRAUM" sheetId="2" r:id="rId3"/>
    <sheet name="Biofeuerraum 3" sheetId="14" state="hidden" r:id="rId4"/>
    <sheet name="Biofeuerraum 2" sheetId="15" state="hidden" r:id="rId5"/>
    <sheet name="Verbindungsstück" sheetId="8" state="hidden" r:id="rId6"/>
    <sheet name="Schornstein" sheetId="7" state="hidden" r:id="rId7"/>
    <sheet name="Konstante" sheetId="4" state="hidden" r:id="rId8"/>
  </sheets>
  <definedNames>
    <definedName name="_xlnm._FilterDatabase" localSheetId="1" hidden="1">Berechnung!$R$28:$R$57</definedName>
    <definedName name="_xlnm._FilterDatabase" localSheetId="7" hidden="1">Konstante!$I$23:$J$30</definedName>
    <definedName name="Biofeuerraum_2">Konstante!$A$133:$C$135</definedName>
    <definedName name="Brennräume">Konstante!$A$140:$E$145</definedName>
    <definedName name="Brennraumformate">Berechnung!$B$143:$C$145</definedName>
    <definedName name="_xlnm.Print_Area" localSheetId="1">Berechnung!$B$1:$P$177</definedName>
    <definedName name="_xlnm.Print_Area" localSheetId="4">'Biofeuerraum 2'!$A$1:$E$128</definedName>
    <definedName name="_xlnm.Print_Area" localSheetId="3">'Biofeuerraum 3'!$A$1:$E$58</definedName>
    <definedName name="_xlnm.Print_Area" localSheetId="2">BRENNRAUM!$A$1:$E$51</definedName>
    <definedName name="_xlnm.Print_Area" localSheetId="0">Heizanleitung!$A$1:$H$181</definedName>
    <definedName name="_xlnm.Print_Titles" localSheetId="0">Heizanleitung!$1:$1</definedName>
    <definedName name="Lamdafrau_glatt_hoch.67">Konstante!$A$108:$B$115</definedName>
    <definedName name="LetzterZug">Berechnung!$A$28:$AH$55</definedName>
    <definedName name="Liste1">Berechnung!$R$28:$AI$56</definedName>
    <definedName name="Liste2">Berechnung!$A$28:$AI$56</definedName>
    <definedName name="Poterieformat">Berechnung!$B$130:$C$140</definedName>
    <definedName name="Schornstein">Konstante!$A$40:$X$67</definedName>
    <definedName name="Schornsteinformat">Berechnung!$B$100:$C$128</definedName>
    <definedName name="Verbindungsstück">Konstante!$A$76:$X$86</definedName>
    <definedName name="zQuerschnitt">Konstante!$I$23:$J$30</definedName>
  </definedNames>
  <calcPr calcId="145621"/>
</workbook>
</file>

<file path=xl/calcChain.xml><?xml version="1.0" encoding="utf-8"?>
<calcChain xmlns="http://schemas.openxmlformats.org/spreadsheetml/2006/main">
  <c r="H28" i="3" l="1"/>
  <c r="X86" i="4"/>
  <c r="X85" i="4"/>
  <c r="X84" i="4"/>
  <c r="X83" i="4"/>
  <c r="X82" i="4"/>
  <c r="X81" i="4"/>
  <c r="X80" i="4"/>
  <c r="X79" i="4"/>
  <c r="X78" i="4"/>
  <c r="X77" i="4"/>
  <c r="X76" i="4"/>
  <c r="X67" i="4"/>
  <c r="X66" i="4"/>
  <c r="X65" i="4"/>
  <c r="X64" i="4"/>
  <c r="X63" i="4"/>
  <c r="X62" i="4"/>
  <c r="X61" i="4"/>
  <c r="X60" i="4"/>
  <c r="X59" i="4"/>
  <c r="X58" i="4"/>
  <c r="X57" i="4"/>
  <c r="X56" i="4"/>
  <c r="X55" i="4"/>
  <c r="X54" i="4"/>
  <c r="X53" i="4"/>
  <c r="A57" i="14"/>
  <c r="B110" i="4"/>
  <c r="X50" i="4" s="1"/>
  <c r="R28" i="3"/>
  <c r="A28" i="3" s="1"/>
  <c r="R29" i="3"/>
  <c r="R30" i="3"/>
  <c r="A30" i="3" s="1"/>
  <c r="R31" i="3"/>
  <c r="R32" i="3"/>
  <c r="A32" i="3" s="1"/>
  <c r="R33" i="3"/>
  <c r="A33" i="3" s="1"/>
  <c r="R34" i="3"/>
  <c r="A34" i="3" s="1"/>
  <c r="R35" i="3"/>
  <c r="A35" i="3" s="1"/>
  <c r="R36" i="3"/>
  <c r="A36" i="3" s="1"/>
  <c r="R37" i="3"/>
  <c r="A37" i="3" s="1"/>
  <c r="R38" i="3"/>
  <c r="A38" i="3" s="1"/>
  <c r="R39" i="3"/>
  <c r="A39" i="3" s="1"/>
  <c r="R40" i="3"/>
  <c r="A40" i="3" s="1"/>
  <c r="R41" i="3"/>
  <c r="A41" i="3" s="1"/>
  <c r="R42" i="3"/>
  <c r="A42" i="3" s="1"/>
  <c r="R43" i="3"/>
  <c r="A43" i="3" s="1"/>
  <c r="R56" i="3"/>
  <c r="A56" i="3" s="1"/>
  <c r="F11" i="3"/>
  <c r="F14" i="3" s="1"/>
  <c r="I28" i="3" s="1"/>
  <c r="V28" i="3" s="1"/>
  <c r="B130" i="3"/>
  <c r="B131" i="3"/>
  <c r="B132" i="3"/>
  <c r="B133" i="3"/>
  <c r="B134" i="3"/>
  <c r="B135" i="3"/>
  <c r="B136" i="3"/>
  <c r="B137" i="3"/>
  <c r="B138" i="3"/>
  <c r="B139" i="3"/>
  <c r="B140" i="3"/>
  <c r="B4" i="8"/>
  <c r="V16" i="3"/>
  <c r="B17" i="7" s="1"/>
  <c r="E29" i="8"/>
  <c r="B100" i="3"/>
  <c r="B101" i="3"/>
  <c r="B102" i="3"/>
  <c r="B103" i="3"/>
  <c r="B104" i="3"/>
  <c r="B105" i="3"/>
  <c r="B106" i="3"/>
  <c r="B107" i="3"/>
  <c r="B108" i="3"/>
  <c r="B109" i="3"/>
  <c r="B110" i="3"/>
  <c r="B111" i="3"/>
  <c r="B112" i="3"/>
  <c r="B113" i="3"/>
  <c r="B114" i="3"/>
  <c r="B115" i="3"/>
  <c r="B116" i="3"/>
  <c r="B117" i="3"/>
  <c r="B118" i="3"/>
  <c r="B119" i="3"/>
  <c r="B120" i="3"/>
  <c r="B121" i="3"/>
  <c r="B122" i="3"/>
  <c r="B123" i="3"/>
  <c r="C63" i="3" s="1"/>
  <c r="B3" i="7" s="1"/>
  <c r="B124" i="3"/>
  <c r="B125" i="3"/>
  <c r="B126" i="3"/>
  <c r="B127" i="3"/>
  <c r="B4" i="7"/>
  <c r="AJ63" i="3"/>
  <c r="U57" i="3"/>
  <c r="Y57" i="3" s="1"/>
  <c r="M57" i="3" s="1"/>
  <c r="AF43" i="3"/>
  <c r="AB43" i="3"/>
  <c r="AD43" i="3"/>
  <c r="AG43" i="3"/>
  <c r="AE43" i="3"/>
  <c r="Y43" i="3"/>
  <c r="Z43" i="3" s="1"/>
  <c r="A31" i="3"/>
  <c r="O56" i="3"/>
  <c r="O55" i="3"/>
  <c r="O54" i="3"/>
  <c r="O53" i="3"/>
  <c r="O52" i="3"/>
  <c r="O51" i="3"/>
  <c r="O50" i="3"/>
  <c r="O49" i="3"/>
  <c r="O48" i="3"/>
  <c r="O47" i="3"/>
  <c r="O46" i="3"/>
  <c r="O45" i="3"/>
  <c r="O44" i="3"/>
  <c r="O43" i="3"/>
  <c r="AJ42" i="3"/>
  <c r="O42" i="3"/>
  <c r="AJ41" i="3"/>
  <c r="O41" i="3"/>
  <c r="AJ40" i="3"/>
  <c r="O40" i="3"/>
  <c r="AJ39" i="3"/>
  <c r="O39" i="3"/>
  <c r="AJ38" i="3"/>
  <c r="O38" i="3"/>
  <c r="AJ37" i="3"/>
  <c r="O37" i="3"/>
  <c r="AJ36" i="3"/>
  <c r="O36" i="3"/>
  <c r="AJ35" i="3"/>
  <c r="O35" i="3"/>
  <c r="AJ34" i="3"/>
  <c r="O34" i="3"/>
  <c r="AJ33" i="3"/>
  <c r="O33" i="3"/>
  <c r="AJ32" i="3"/>
  <c r="O32" i="3"/>
  <c r="AJ31" i="3"/>
  <c r="O31" i="3"/>
  <c r="AJ30" i="3"/>
  <c r="O30" i="3"/>
  <c r="AJ29" i="3"/>
  <c r="O29" i="3"/>
  <c r="AJ28" i="3"/>
  <c r="U43" i="3"/>
  <c r="U42" i="3"/>
  <c r="U41" i="3"/>
  <c r="AL42" i="3" s="1"/>
  <c r="U40" i="3"/>
  <c r="U39" i="3"/>
  <c r="AL40" i="3" s="1"/>
  <c r="U38" i="3"/>
  <c r="U37" i="3"/>
  <c r="AL38" i="3" s="1"/>
  <c r="U36" i="3"/>
  <c r="U35" i="3"/>
  <c r="U34" i="3"/>
  <c r="U33" i="3"/>
  <c r="AL34" i="3" s="1"/>
  <c r="U32" i="3"/>
  <c r="U31" i="3"/>
  <c r="AL32" i="3" s="1"/>
  <c r="U30" i="3"/>
  <c r="U29" i="3"/>
  <c r="AL30" i="3" s="1"/>
  <c r="U28" i="3"/>
  <c r="Y28" i="3" s="1"/>
  <c r="AK40" i="3"/>
  <c r="AC39" i="3"/>
  <c r="AB39" i="3"/>
  <c r="AD39" i="3"/>
  <c r="AC60" i="3"/>
  <c r="AF60" i="3" s="1"/>
  <c r="AB57" i="3"/>
  <c r="AE57" i="3" s="1"/>
  <c r="B262" i="4"/>
  <c r="B263" i="4" s="1"/>
  <c r="E99" i="4"/>
  <c r="B252" i="4"/>
  <c r="B253" i="4" s="1"/>
  <c r="B242" i="4"/>
  <c r="B243" i="4" s="1"/>
  <c r="AJ60" i="3"/>
  <c r="S28" i="3"/>
  <c r="S29" i="3"/>
  <c r="S30" i="3"/>
  <c r="S31" i="3"/>
  <c r="S32" i="3"/>
  <c r="S33" i="3"/>
  <c r="S34" i="3"/>
  <c r="S35" i="3"/>
  <c r="S36" i="3"/>
  <c r="S37" i="3"/>
  <c r="S38" i="3"/>
  <c r="S39" i="3"/>
  <c r="S40" i="3"/>
  <c r="S41" i="3"/>
  <c r="S42" i="3"/>
  <c r="S43" i="3"/>
  <c r="H60" i="3"/>
  <c r="T28" i="3"/>
  <c r="A29" i="8"/>
  <c r="D29" i="8" s="1"/>
  <c r="B29" i="8"/>
  <c r="B144" i="3"/>
  <c r="C144" i="3"/>
  <c r="B145" i="3"/>
  <c r="E141" i="4"/>
  <c r="T37" i="3"/>
  <c r="I37" i="3"/>
  <c r="T29" i="3"/>
  <c r="T43" i="3"/>
  <c r="I43" i="3"/>
  <c r="T42" i="3"/>
  <c r="I42" i="3"/>
  <c r="T36" i="3"/>
  <c r="I36" i="3"/>
  <c r="I56" i="3"/>
  <c r="AJ57" i="3"/>
  <c r="Y30" i="3"/>
  <c r="Z30" i="3" s="1"/>
  <c r="AA30" i="3"/>
  <c r="Y41" i="3"/>
  <c r="AA41" i="3" s="1"/>
  <c r="Y42" i="3"/>
  <c r="Z42" i="3" s="1"/>
  <c r="AC43" i="3"/>
  <c r="O22" i="3"/>
  <c r="W53" i="3"/>
  <c r="W54" i="3"/>
  <c r="W50" i="3"/>
  <c r="T40" i="3"/>
  <c r="I40" i="3"/>
  <c r="V40" i="3"/>
  <c r="W40" i="3"/>
  <c r="T30" i="3"/>
  <c r="I30" i="3"/>
  <c r="V30" i="3"/>
  <c r="X30" i="3"/>
  <c r="W30" i="3"/>
  <c r="J30" i="3"/>
  <c r="L30" i="3"/>
  <c r="M30" i="3"/>
  <c r="N30" i="3"/>
  <c r="T31" i="3"/>
  <c r="I31" i="3"/>
  <c r="V31" i="3"/>
  <c r="X31" i="3"/>
  <c r="W31" i="3"/>
  <c r="J31" i="3"/>
  <c r="L31" i="3"/>
  <c r="M31" i="3"/>
  <c r="N31" i="3"/>
  <c r="T32" i="3"/>
  <c r="I32" i="3"/>
  <c r="V32" i="3"/>
  <c r="X32" i="3"/>
  <c r="W32" i="3"/>
  <c r="J32" i="3"/>
  <c r="L32" i="3"/>
  <c r="M32" i="3"/>
  <c r="N32" i="3"/>
  <c r="T33" i="3"/>
  <c r="I33" i="3"/>
  <c r="V33" i="3"/>
  <c r="X33" i="3"/>
  <c r="W33" i="3"/>
  <c r="J33" i="3"/>
  <c r="L33" i="3"/>
  <c r="M33" i="3"/>
  <c r="N33" i="3"/>
  <c r="T34" i="3"/>
  <c r="I34" i="3"/>
  <c r="V34" i="3"/>
  <c r="X34" i="3"/>
  <c r="W34" i="3"/>
  <c r="J34" i="3"/>
  <c r="L34" i="3"/>
  <c r="M34" i="3"/>
  <c r="N34" i="3"/>
  <c r="T35" i="3"/>
  <c r="I35" i="3"/>
  <c r="V35" i="3"/>
  <c r="X35" i="3"/>
  <c r="W35" i="3"/>
  <c r="J35" i="3"/>
  <c r="L35" i="3"/>
  <c r="M35" i="3"/>
  <c r="N35" i="3"/>
  <c r="V36" i="3"/>
  <c r="X36" i="3"/>
  <c r="W36" i="3"/>
  <c r="J36" i="3"/>
  <c r="L36" i="3"/>
  <c r="M36" i="3"/>
  <c r="N36" i="3"/>
  <c r="V37" i="3"/>
  <c r="X37" i="3"/>
  <c r="W37" i="3"/>
  <c r="J37" i="3"/>
  <c r="L37" i="3"/>
  <c r="M37" i="3"/>
  <c r="N37" i="3"/>
  <c r="T38" i="3"/>
  <c r="I38" i="3"/>
  <c r="V38" i="3"/>
  <c r="X38" i="3"/>
  <c r="W38" i="3"/>
  <c r="J38" i="3"/>
  <c r="L38" i="3"/>
  <c r="M38" i="3"/>
  <c r="N38" i="3"/>
  <c r="T39" i="3"/>
  <c r="I39" i="3"/>
  <c r="V39" i="3"/>
  <c r="X39" i="3"/>
  <c r="W39" i="3"/>
  <c r="J39" i="3"/>
  <c r="L39" i="3"/>
  <c r="M39" i="3"/>
  <c r="N39" i="3"/>
  <c r="X40" i="3"/>
  <c r="J40" i="3"/>
  <c r="L40" i="3"/>
  <c r="M40" i="3"/>
  <c r="N40" i="3"/>
  <c r="T41" i="3"/>
  <c r="I41" i="3"/>
  <c r="V41" i="3"/>
  <c r="X41" i="3"/>
  <c r="W41" i="3"/>
  <c r="J41" i="3"/>
  <c r="L41" i="3"/>
  <c r="M41" i="3"/>
  <c r="N41" i="3"/>
  <c r="V42" i="3"/>
  <c r="X42" i="3"/>
  <c r="W42" i="3"/>
  <c r="J42" i="3"/>
  <c r="L42" i="3"/>
  <c r="M42" i="3"/>
  <c r="N42" i="3"/>
  <c r="V43" i="3"/>
  <c r="X43" i="3"/>
  <c r="W43" i="3"/>
  <c r="J43" i="3"/>
  <c r="L43" i="3"/>
  <c r="M43" i="3"/>
  <c r="N43" i="3"/>
  <c r="N44" i="3"/>
  <c r="N45" i="3"/>
  <c r="N46" i="3"/>
  <c r="N47" i="3"/>
  <c r="N48" i="3"/>
  <c r="N49" i="3"/>
  <c r="N50" i="3"/>
  <c r="N51" i="3"/>
  <c r="N52" i="3"/>
  <c r="N53" i="3"/>
  <c r="N54" i="3"/>
  <c r="N55" i="3"/>
  <c r="N56" i="3"/>
  <c r="J22" i="3"/>
  <c r="P30" i="3"/>
  <c r="P31" i="3"/>
  <c r="P32" i="3"/>
  <c r="P33" i="3"/>
  <c r="P34" i="3"/>
  <c r="P35" i="3"/>
  <c r="P36" i="3"/>
  <c r="P37" i="3"/>
  <c r="P38" i="3"/>
  <c r="P39" i="3"/>
  <c r="P40" i="3"/>
  <c r="P41" i="3"/>
  <c r="P42" i="3"/>
  <c r="P43" i="3"/>
  <c r="P44" i="3"/>
  <c r="P45" i="3"/>
  <c r="P46" i="3"/>
  <c r="P47" i="3"/>
  <c r="P48" i="3"/>
  <c r="P49" i="3"/>
  <c r="P50" i="3"/>
  <c r="P51" i="3"/>
  <c r="P52" i="3"/>
  <c r="P53" i="3"/>
  <c r="P54" i="3"/>
  <c r="P55" i="3"/>
  <c r="P56" i="3"/>
  <c r="V22" i="3"/>
  <c r="X22" i="3"/>
  <c r="H29" i="3"/>
  <c r="C178" i="15"/>
  <c r="C177" i="15"/>
  <c r="C176" i="15"/>
  <c r="C175" i="15"/>
  <c r="C174" i="15"/>
  <c r="C173" i="15"/>
  <c r="C172" i="15"/>
  <c r="C171" i="15"/>
  <c r="C170" i="15"/>
  <c r="C169" i="15"/>
  <c r="C168" i="15"/>
  <c r="C167" i="15"/>
  <c r="C166" i="15"/>
  <c r="C164" i="15"/>
  <c r="C163" i="15"/>
  <c r="C162" i="15"/>
  <c r="C161" i="15"/>
  <c r="C160" i="15"/>
  <c r="C159" i="15"/>
  <c r="C158" i="15"/>
  <c r="C157" i="15"/>
  <c r="C156" i="15"/>
  <c r="C155" i="15"/>
  <c r="C154" i="15"/>
  <c r="C153" i="15"/>
  <c r="C152" i="15"/>
  <c r="B178" i="15"/>
  <c r="B177" i="15"/>
  <c r="B176" i="15"/>
  <c r="B175" i="15"/>
  <c r="B174" i="15"/>
  <c r="B173" i="15"/>
  <c r="B172" i="15"/>
  <c r="B171" i="15"/>
  <c r="B170" i="15"/>
  <c r="B169" i="15"/>
  <c r="B168" i="15"/>
  <c r="B167" i="15"/>
  <c r="B166" i="15"/>
  <c r="B164" i="15"/>
  <c r="B163" i="15"/>
  <c r="B162" i="15"/>
  <c r="B161" i="15"/>
  <c r="B160" i="15"/>
  <c r="B159" i="15"/>
  <c r="B158" i="15"/>
  <c r="B157" i="15"/>
  <c r="B156" i="15"/>
  <c r="B155" i="15"/>
  <c r="B154" i="15"/>
  <c r="B153" i="15"/>
  <c r="B152" i="15"/>
  <c r="R44" i="3"/>
  <c r="A44" i="3" s="1"/>
  <c r="R45" i="3"/>
  <c r="A45" i="3" s="1"/>
  <c r="R46" i="3"/>
  <c r="A46" i="3" s="1"/>
  <c r="R47" i="3"/>
  <c r="A47" i="3" s="1"/>
  <c r="R48" i="3"/>
  <c r="A48" i="3" s="1"/>
  <c r="R49" i="3"/>
  <c r="A49" i="3" s="1"/>
  <c r="R50" i="3"/>
  <c r="A50" i="3" s="1"/>
  <c r="R51" i="3"/>
  <c r="A51" i="3" s="1"/>
  <c r="R52" i="3"/>
  <c r="A52" i="3" s="1"/>
  <c r="R53" i="3"/>
  <c r="A53" i="3" s="1"/>
  <c r="R54" i="3"/>
  <c r="A54" i="3" s="1"/>
  <c r="R55" i="3"/>
  <c r="A55" i="3" s="1"/>
  <c r="Y29" i="3"/>
  <c r="AA29" i="3" s="1"/>
  <c r="AB29" i="3"/>
  <c r="AD29" i="3" s="1"/>
  <c r="AG29" i="3" s="1"/>
  <c r="AC29" i="3"/>
  <c r="AE29" i="3"/>
  <c r="AF29" i="3"/>
  <c r="AC57" i="3"/>
  <c r="AF57" i="3" s="1"/>
  <c r="B220" i="3"/>
  <c r="B222" i="3"/>
  <c r="C222" i="3"/>
  <c r="B4" i="4"/>
  <c r="B5" i="4"/>
  <c r="B6" i="4"/>
  <c r="B7" i="4"/>
  <c r="B8" i="4"/>
  <c r="B9" i="4"/>
  <c r="B10" i="4"/>
  <c r="B11" i="4"/>
  <c r="B12" i="4"/>
  <c r="B13" i="4"/>
  <c r="B14" i="4"/>
  <c r="B15" i="4"/>
  <c r="B16" i="4"/>
  <c r="B17" i="4"/>
  <c r="B18" i="4"/>
  <c r="B19" i="4"/>
  <c r="B219" i="3"/>
  <c r="B217" i="3"/>
  <c r="C220" i="3"/>
  <c r="AI32" i="3"/>
  <c r="AC28" i="3"/>
  <c r="AD28" i="3" s="1"/>
  <c r="AG28" i="3" s="1"/>
  <c r="AB28" i="3"/>
  <c r="C217" i="3"/>
  <c r="Y37" i="3"/>
  <c r="AA37" i="3" s="1"/>
  <c r="AB37" i="3"/>
  <c r="AC37" i="3"/>
  <c r="AD37" i="3"/>
  <c r="AG37" i="3"/>
  <c r="AE37" i="3"/>
  <c r="Y38" i="3"/>
  <c r="Z38" i="3" s="1"/>
  <c r="Y39" i="3"/>
  <c r="Z39" i="3" s="1"/>
  <c r="Y40" i="3"/>
  <c r="AA40" i="3" s="1"/>
  <c r="U44" i="3"/>
  <c r="Y44" i="3"/>
  <c r="AA44" i="3" s="1"/>
  <c r="U45" i="3"/>
  <c r="Y45" i="3"/>
  <c r="AA45" i="3" s="1"/>
  <c r="U46" i="3"/>
  <c r="Y46" i="3"/>
  <c r="U47" i="3"/>
  <c r="Y47" i="3"/>
  <c r="AA47" i="3" s="1"/>
  <c r="U48" i="3"/>
  <c r="Y48" i="3"/>
  <c r="AA48" i="3" s="1"/>
  <c r="U49" i="3"/>
  <c r="Y49" i="3"/>
  <c r="Z49" i="3" s="1"/>
  <c r="U50" i="3"/>
  <c r="Y50" i="3"/>
  <c r="Z50" i="3" s="1"/>
  <c r="U51" i="3"/>
  <c r="Y51" i="3"/>
  <c r="AA51" i="3" s="1"/>
  <c r="U52" i="3"/>
  <c r="Y52" i="3"/>
  <c r="AA52" i="3" s="1"/>
  <c r="U53" i="3"/>
  <c r="Y53" i="3"/>
  <c r="Z53" i="3" s="1"/>
  <c r="U54" i="3"/>
  <c r="Y54" i="3"/>
  <c r="AA54" i="3" s="1"/>
  <c r="U55" i="3"/>
  <c r="Y55" i="3"/>
  <c r="AA55" i="3" s="1"/>
  <c r="C143" i="3"/>
  <c r="Y56" i="3"/>
  <c r="AA56" i="3" s="1"/>
  <c r="AJ56" i="3"/>
  <c r="AJ55" i="3"/>
  <c r="AJ54" i="3"/>
  <c r="AJ53" i="3"/>
  <c r="AJ52" i="3"/>
  <c r="AJ51" i="3"/>
  <c r="AJ50" i="3"/>
  <c r="AJ49" i="3"/>
  <c r="AJ48" i="3"/>
  <c r="AJ47" i="3"/>
  <c r="AJ46" i="3"/>
  <c r="AJ45" i="3"/>
  <c r="AJ44" i="3"/>
  <c r="AJ43" i="3"/>
  <c r="S44" i="3"/>
  <c r="S45" i="3"/>
  <c r="S46" i="3"/>
  <c r="S47" i="3"/>
  <c r="S48" i="3"/>
  <c r="S49" i="3"/>
  <c r="S50" i="3"/>
  <c r="S51" i="3"/>
  <c r="S52" i="3"/>
  <c r="S53" i="3"/>
  <c r="S54" i="3"/>
  <c r="S55" i="3"/>
  <c r="C133" i="3"/>
  <c r="AC41" i="3"/>
  <c r="AF41" i="3"/>
  <c r="AB41" i="3"/>
  <c r="AD41" i="3"/>
  <c r="AG41" i="3"/>
  <c r="AE41" i="3"/>
  <c r="AB38" i="3"/>
  <c r="AE38" i="3"/>
  <c r="AC38" i="3"/>
  <c r="AD38" i="3"/>
  <c r="AG38" i="3"/>
  <c r="AF38" i="3"/>
  <c r="Y36" i="3"/>
  <c r="AA36" i="3" s="1"/>
  <c r="Y35" i="3"/>
  <c r="Z35" i="3" s="1"/>
  <c r="Y34" i="3"/>
  <c r="AA34" i="3" s="1"/>
  <c r="Y33" i="3"/>
  <c r="AA33" i="3" s="1"/>
  <c r="Y32" i="3"/>
  <c r="Z32" i="3" s="1"/>
  <c r="Y31" i="3"/>
  <c r="AA31" i="3" s="1"/>
  <c r="C252" i="4"/>
  <c r="C242" i="4"/>
  <c r="B212" i="4"/>
  <c r="C212" i="4" s="1"/>
  <c r="B182" i="4"/>
  <c r="B183" i="4" s="1"/>
  <c r="B197" i="4"/>
  <c r="B198"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AI30" i="3"/>
  <c r="G78" i="4"/>
  <c r="Z54" i="3"/>
  <c r="Z46" i="3"/>
  <c r="AA50" i="3"/>
  <c r="AA46" i="3"/>
  <c r="AA38" i="3"/>
  <c r="AD56" i="3"/>
  <c r="AC55" i="3"/>
  <c r="AB55" i="3"/>
  <c r="AD55" i="3"/>
  <c r="AC54" i="3"/>
  <c r="AB54" i="3"/>
  <c r="AD54" i="3"/>
  <c r="AC53" i="3"/>
  <c r="AB53" i="3"/>
  <c r="AD53" i="3"/>
  <c r="AC52" i="3"/>
  <c r="AB52" i="3"/>
  <c r="AD52" i="3"/>
  <c r="AC51" i="3"/>
  <c r="AB51" i="3"/>
  <c r="AD51" i="3"/>
  <c r="AC50" i="3"/>
  <c r="AB50" i="3"/>
  <c r="AD50" i="3"/>
  <c r="AC49" i="3"/>
  <c r="AB49" i="3"/>
  <c r="AD49" i="3"/>
  <c r="AC48" i="3"/>
  <c r="AB48" i="3"/>
  <c r="AD48" i="3"/>
  <c r="AC47" i="3"/>
  <c r="AB47" i="3"/>
  <c r="AD47" i="3"/>
  <c r="AC46" i="3"/>
  <c r="AB46" i="3"/>
  <c r="AD46" i="3"/>
  <c r="AC45" i="3"/>
  <c r="AB45" i="3"/>
  <c r="AD45" i="3"/>
  <c r="AC44" i="3"/>
  <c r="AB44" i="3"/>
  <c r="AD44" i="3"/>
  <c r="AC42" i="3"/>
  <c r="AB42" i="3"/>
  <c r="AD42" i="3"/>
  <c r="AC40" i="3"/>
  <c r="AB40" i="3"/>
  <c r="AD40" i="3"/>
  <c r="AC36" i="3"/>
  <c r="AB36" i="3"/>
  <c r="AD36" i="3"/>
  <c r="AC35" i="3"/>
  <c r="AB35" i="3"/>
  <c r="AD35" i="3"/>
  <c r="AC34" i="3"/>
  <c r="AB34" i="3"/>
  <c r="AD34" i="3"/>
  <c r="AC33" i="3"/>
  <c r="AB33" i="3"/>
  <c r="AD33" i="3"/>
  <c r="AC32" i="3"/>
  <c r="AB32" i="3"/>
  <c r="AD32" i="3"/>
  <c r="AB31" i="3"/>
  <c r="AC31" i="3"/>
  <c r="AD31" i="3"/>
  <c r="AC30" i="3"/>
  <c r="AB30" i="3"/>
  <c r="AD30" i="3"/>
  <c r="C140" i="4"/>
  <c r="C141" i="4"/>
  <c r="V25" i="3"/>
  <c r="X25" i="3" s="1"/>
  <c r="E140" i="4"/>
  <c r="W85" i="4"/>
  <c r="W84" i="4"/>
  <c r="W83" i="4"/>
  <c r="W82" i="4"/>
  <c r="W81" i="4"/>
  <c r="P85" i="4"/>
  <c r="T85" i="4" s="1"/>
  <c r="V85" i="4" s="1"/>
  <c r="P84" i="4"/>
  <c r="T84" i="4" s="1"/>
  <c r="P83" i="4"/>
  <c r="T83" i="4"/>
  <c r="V83" i="4" s="1"/>
  <c r="P82" i="4"/>
  <c r="T82" i="4" s="1"/>
  <c r="V82" i="4" s="1"/>
  <c r="P81" i="4"/>
  <c r="T81" i="4" s="1"/>
  <c r="V81" i="4" s="1"/>
  <c r="P67" i="4"/>
  <c r="F78" i="4"/>
  <c r="W78" i="4"/>
  <c r="G80" i="4"/>
  <c r="J80" i="4"/>
  <c r="N80" i="4" s="1"/>
  <c r="K80" i="4"/>
  <c r="L80" i="4"/>
  <c r="L78" i="4"/>
  <c r="P78" i="4"/>
  <c r="V78" i="4" s="1"/>
  <c r="T78" i="4"/>
  <c r="W55" i="4"/>
  <c r="G55" i="4"/>
  <c r="W40" i="4"/>
  <c r="T40" i="4"/>
  <c r="V40" i="4" s="1"/>
  <c r="E92" i="4"/>
  <c r="W80" i="4"/>
  <c r="W79" i="4"/>
  <c r="G79" i="4"/>
  <c r="L79" i="4"/>
  <c r="N79" i="4"/>
  <c r="O79" i="4"/>
  <c r="P79" i="4" s="1"/>
  <c r="R79" i="4"/>
  <c r="G60" i="4"/>
  <c r="J60" i="4"/>
  <c r="K60" i="4"/>
  <c r="L60" i="4" s="1"/>
  <c r="N60" i="4"/>
  <c r="P60" i="4" s="1"/>
  <c r="O60" i="4"/>
  <c r="S60" i="4" s="1"/>
  <c r="G59" i="4"/>
  <c r="J59" i="4"/>
  <c r="L59" i="4"/>
  <c r="K59" i="4"/>
  <c r="N59" i="4"/>
  <c r="P59" i="4" s="1"/>
  <c r="O59" i="4"/>
  <c r="S59" i="4" s="1"/>
  <c r="G58" i="4"/>
  <c r="J58" i="4"/>
  <c r="L58" i="4"/>
  <c r="K58" i="4"/>
  <c r="O58" i="4"/>
  <c r="S58" i="4" s="1"/>
  <c r="G57" i="4"/>
  <c r="J57" i="4"/>
  <c r="K57" i="4"/>
  <c r="L57" i="4" s="1"/>
  <c r="N57" i="4"/>
  <c r="R57" i="4" s="1"/>
  <c r="T57" i="4" s="1"/>
  <c r="T43" i="4"/>
  <c r="V43" i="4" s="1"/>
  <c r="F85" i="4"/>
  <c r="F84" i="4"/>
  <c r="F81" i="4"/>
  <c r="F83" i="4"/>
  <c r="F82" i="4"/>
  <c r="F66" i="4"/>
  <c r="F80" i="4"/>
  <c r="F79" i="4"/>
  <c r="G77" i="4"/>
  <c r="V77" i="4" s="1"/>
  <c r="L77" i="4"/>
  <c r="P77" i="4"/>
  <c r="T77" i="4"/>
  <c r="K61" i="4"/>
  <c r="O61" i="4"/>
  <c r="S61" i="4" s="1"/>
  <c r="O56" i="4"/>
  <c r="S56" i="4" s="1"/>
  <c r="O55" i="4"/>
  <c r="S55" i="4" s="1"/>
  <c r="O54" i="4"/>
  <c r="S54" i="4" s="1"/>
  <c r="O53" i="4"/>
  <c r="S53" i="4" s="1"/>
  <c r="J61" i="4"/>
  <c r="N61" i="4" s="1"/>
  <c r="N56" i="4"/>
  <c r="R56" i="4" s="1"/>
  <c r="T56" i="4" s="1"/>
  <c r="N55" i="4"/>
  <c r="R55" i="4" s="1"/>
  <c r="N54" i="4"/>
  <c r="R54" i="4" s="1"/>
  <c r="N53" i="4"/>
  <c r="R53" i="4"/>
  <c r="T53" i="4" s="1"/>
  <c r="F61" i="4"/>
  <c r="F60" i="4"/>
  <c r="W60" i="4"/>
  <c r="F59" i="4"/>
  <c r="W59" i="4"/>
  <c r="F58" i="4"/>
  <c r="W58" i="4"/>
  <c r="F57" i="4"/>
  <c r="W57" i="4"/>
  <c r="W56" i="4"/>
  <c r="G56" i="4"/>
  <c r="L56" i="4"/>
  <c r="P56" i="4"/>
  <c r="F56" i="4"/>
  <c r="F40" i="4"/>
  <c r="F46" i="4"/>
  <c r="F45" i="4"/>
  <c r="W46" i="4"/>
  <c r="T46" i="4"/>
  <c r="V46" i="4" s="1"/>
  <c r="C106" i="3"/>
  <c r="T47" i="4"/>
  <c r="W45" i="4"/>
  <c r="T45" i="4"/>
  <c r="V45" i="4"/>
  <c r="D16" i="2"/>
  <c r="D140" i="4"/>
  <c r="C102" i="3"/>
  <c r="V62" i="4"/>
  <c r="G61" i="4"/>
  <c r="L55" i="4"/>
  <c r="C249" i="3"/>
  <c r="Q60" i="3" s="1"/>
  <c r="Q63" i="3"/>
  <c r="C103" i="3"/>
  <c r="AF30" i="3"/>
  <c r="AG30" i="3"/>
  <c r="AE30" i="3"/>
  <c r="AF31" i="3"/>
  <c r="AG31" i="3"/>
  <c r="AE31" i="3"/>
  <c r="AI53" i="3"/>
  <c r="AG51" i="3"/>
  <c r="AE51" i="3"/>
  <c r="AF51" i="3"/>
  <c r="AI52" i="3"/>
  <c r="AI51" i="3"/>
  <c r="AG49" i="3"/>
  <c r="AE49" i="3"/>
  <c r="AF49" i="3"/>
  <c r="AI50" i="3"/>
  <c r="AI49" i="3"/>
  <c r="AI48" i="3"/>
  <c r="AG46" i="3"/>
  <c r="AE46" i="3"/>
  <c r="AF46" i="3"/>
  <c r="AI47" i="3"/>
  <c r="AI46" i="3"/>
  <c r="AE45" i="3"/>
  <c r="AG45" i="3"/>
  <c r="AF45" i="3"/>
  <c r="AI45" i="3"/>
  <c r="AE44" i="3"/>
  <c r="AG44" i="3"/>
  <c r="AF44" i="3"/>
  <c r="AI44" i="3"/>
  <c r="AI43" i="3"/>
  <c r="AI42" i="3"/>
  <c r="AG42" i="3"/>
  <c r="AF42" i="3"/>
  <c r="AI41" i="3"/>
  <c r="AG40" i="3"/>
  <c r="AE40" i="3"/>
  <c r="AF40" i="3"/>
  <c r="AF39" i="3"/>
  <c r="AG39" i="3"/>
  <c r="AE39" i="3"/>
  <c r="AI40" i="3"/>
  <c r="AI39" i="3"/>
  <c r="AI38" i="3"/>
  <c r="AF37" i="3"/>
  <c r="AF36" i="3"/>
  <c r="AG36" i="3"/>
  <c r="AE36" i="3"/>
  <c r="AI37" i="3"/>
  <c r="AI36" i="3"/>
  <c r="AI35" i="3"/>
  <c r="AF34" i="3"/>
  <c r="AG34" i="3"/>
  <c r="AE34" i="3"/>
  <c r="AI34" i="3"/>
  <c r="AI33" i="3"/>
  <c r="AE33" i="3"/>
  <c r="AG33" i="3"/>
  <c r="AF33" i="3"/>
  <c r="AI31" i="3"/>
  <c r="AE28" i="3"/>
  <c r="AI29" i="3"/>
  <c r="C131" i="3"/>
  <c r="AI56" i="3"/>
  <c r="AI55" i="3"/>
  <c r="AI54" i="3"/>
  <c r="B246" i="3"/>
  <c r="C246" i="3"/>
  <c r="B245" i="3"/>
  <c r="C245" i="3"/>
  <c r="B244" i="3"/>
  <c r="C244" i="3"/>
  <c r="T55" i="3"/>
  <c r="I55" i="3"/>
  <c r="V55" i="3"/>
  <c r="W55" i="3"/>
  <c r="J55" i="3"/>
  <c r="B243" i="3"/>
  <c r="C243" i="3"/>
  <c r="T54" i="3"/>
  <c r="I54" i="3"/>
  <c r="V54" i="3"/>
  <c r="J54" i="3"/>
  <c r="T53" i="3"/>
  <c r="I53" i="3"/>
  <c r="V53" i="3"/>
  <c r="J53" i="3"/>
  <c r="B242" i="3"/>
  <c r="C242" i="3"/>
  <c r="T52" i="3"/>
  <c r="I52" i="3"/>
  <c r="V52" i="3"/>
  <c r="W52" i="3"/>
  <c r="J52" i="3"/>
  <c r="B241" i="3"/>
  <c r="C241" i="3"/>
  <c r="T51" i="3"/>
  <c r="I51" i="3"/>
  <c r="V51" i="3"/>
  <c r="W51" i="3"/>
  <c r="J51" i="3"/>
  <c r="B240" i="3"/>
  <c r="C240" i="3"/>
  <c r="T50" i="3"/>
  <c r="I50" i="3"/>
  <c r="V50" i="3"/>
  <c r="J50" i="3"/>
  <c r="B239" i="3"/>
  <c r="C239" i="3"/>
  <c r="T49" i="3"/>
  <c r="I49" i="3"/>
  <c r="V49" i="3"/>
  <c r="W49" i="3"/>
  <c r="J49" i="3"/>
  <c r="B238" i="3"/>
  <c r="C238" i="3"/>
  <c r="T48" i="3"/>
  <c r="I48" i="3"/>
  <c r="V48" i="3"/>
  <c r="W48" i="3"/>
  <c r="J48" i="3"/>
  <c r="B237" i="3"/>
  <c r="C237" i="3"/>
  <c r="T47" i="3"/>
  <c r="I47" i="3"/>
  <c r="V47" i="3"/>
  <c r="W47" i="3"/>
  <c r="J47" i="3"/>
  <c r="B236" i="3"/>
  <c r="C236" i="3"/>
  <c r="T46" i="3"/>
  <c r="I46" i="3"/>
  <c r="V46" i="3"/>
  <c r="W46" i="3"/>
  <c r="J46" i="3"/>
  <c r="B235" i="3"/>
  <c r="C235" i="3"/>
  <c r="T45" i="3"/>
  <c r="I45" i="3"/>
  <c r="V45" i="3"/>
  <c r="W45" i="3"/>
  <c r="J45" i="3"/>
  <c r="B234" i="3"/>
  <c r="C234" i="3"/>
  <c r="T44" i="3"/>
  <c r="I44" i="3"/>
  <c r="V44" i="3"/>
  <c r="W44" i="3"/>
  <c r="J44" i="3"/>
  <c r="B233" i="3"/>
  <c r="C233" i="3"/>
  <c r="B232" i="3"/>
  <c r="C232" i="3"/>
  <c r="B231" i="3"/>
  <c r="C231" i="3"/>
  <c r="B230" i="3"/>
  <c r="C230" i="3"/>
  <c r="C229" i="3"/>
  <c r="B229" i="3"/>
  <c r="B228" i="3"/>
  <c r="C228" i="3"/>
  <c r="B227" i="3"/>
  <c r="C227" i="3"/>
  <c r="C226" i="3"/>
  <c r="B226" i="3"/>
  <c r="B225" i="3"/>
  <c r="C225" i="3"/>
  <c r="B224" i="3"/>
  <c r="C224" i="3"/>
  <c r="B223" i="3"/>
  <c r="C223" i="3"/>
  <c r="B221" i="3"/>
  <c r="C221" i="3"/>
  <c r="C219" i="3"/>
  <c r="B218" i="3"/>
  <c r="C218" i="3"/>
  <c r="H40" i="3"/>
  <c r="H30" i="3"/>
  <c r="H31" i="3"/>
  <c r="H32" i="3"/>
  <c r="H33" i="3"/>
  <c r="H34" i="3"/>
  <c r="H35" i="3"/>
  <c r="H36" i="3"/>
  <c r="H37" i="3"/>
  <c r="H38" i="3"/>
  <c r="H39" i="3"/>
  <c r="H41" i="3"/>
  <c r="H42" i="3"/>
  <c r="H43" i="3"/>
  <c r="H44" i="3"/>
  <c r="H45" i="3"/>
  <c r="H46" i="3"/>
  <c r="H47" i="3"/>
  <c r="H48" i="3"/>
  <c r="H49" i="3"/>
  <c r="H50" i="3"/>
  <c r="H51" i="3"/>
  <c r="H52" i="3"/>
  <c r="H53" i="3"/>
  <c r="H54" i="3"/>
  <c r="H55" i="3"/>
  <c r="H56" i="3"/>
  <c r="H57" i="3"/>
  <c r="K30" i="3"/>
  <c r="K31" i="3"/>
  <c r="K32" i="3"/>
  <c r="K33" i="3"/>
  <c r="K34" i="3"/>
  <c r="K35" i="3"/>
  <c r="K36" i="3"/>
  <c r="K37" i="3"/>
  <c r="K38" i="3"/>
  <c r="K39" i="3"/>
  <c r="K40" i="3"/>
  <c r="K41" i="3"/>
  <c r="K42" i="3"/>
  <c r="K43" i="3"/>
  <c r="X44" i="3"/>
  <c r="K44" i="3"/>
  <c r="X45" i="3"/>
  <c r="K45" i="3"/>
  <c r="X46" i="3"/>
  <c r="K46" i="3"/>
  <c r="X47" i="3"/>
  <c r="K47" i="3"/>
  <c r="X48" i="3"/>
  <c r="K48" i="3"/>
  <c r="X49" i="3"/>
  <c r="K49" i="3"/>
  <c r="X50" i="3"/>
  <c r="K50" i="3"/>
  <c r="X51" i="3"/>
  <c r="K51" i="3"/>
  <c r="X52" i="3"/>
  <c r="K52" i="3"/>
  <c r="X53" i="3"/>
  <c r="K53" i="3"/>
  <c r="X54" i="3"/>
  <c r="K54" i="3"/>
  <c r="X55" i="3"/>
  <c r="K55" i="3"/>
  <c r="K56" i="3"/>
  <c r="L44" i="3"/>
  <c r="L45" i="3"/>
  <c r="L46" i="3"/>
  <c r="L47" i="3"/>
  <c r="L48" i="3"/>
  <c r="L49" i="3"/>
  <c r="L50" i="3"/>
  <c r="L51" i="3"/>
  <c r="L52" i="3"/>
  <c r="L53" i="3"/>
  <c r="L54" i="3"/>
  <c r="L55" i="3"/>
  <c r="AF32" i="3"/>
  <c r="AG32" i="3"/>
  <c r="AE32" i="3"/>
  <c r="AE35" i="3"/>
  <c r="AG35" i="3"/>
  <c r="AF35" i="3"/>
  <c r="AC56" i="3"/>
  <c r="AB56" i="3"/>
  <c r="AG56" i="3"/>
  <c r="AG55" i="3"/>
  <c r="AG54" i="3"/>
  <c r="AG53" i="3"/>
  <c r="AG52" i="3"/>
  <c r="AG50" i="3"/>
  <c r="AG48" i="3"/>
  <c r="AG47" i="3"/>
  <c r="AF56" i="3"/>
  <c r="AF55" i="3"/>
  <c r="AF54" i="3"/>
  <c r="AF53" i="3"/>
  <c r="AF52" i="3"/>
  <c r="AF50" i="3"/>
  <c r="AF48" i="3"/>
  <c r="AF47" i="3"/>
  <c r="AE56" i="3"/>
  <c r="AE55" i="3"/>
  <c r="AE54" i="3"/>
  <c r="AE53" i="3"/>
  <c r="AE52" i="3"/>
  <c r="AE50" i="3"/>
  <c r="AE48" i="3"/>
  <c r="AE47" i="3"/>
  <c r="AE42" i="3"/>
  <c r="M48" i="3"/>
  <c r="M44" i="3"/>
  <c r="M45" i="3"/>
  <c r="M46" i="3"/>
  <c r="M47" i="3"/>
  <c r="M49" i="3"/>
  <c r="M50" i="3"/>
  <c r="M51" i="3"/>
  <c r="M52" i="3"/>
  <c r="M53" i="3"/>
  <c r="M54" i="3"/>
  <c r="M55" i="3"/>
  <c r="B142" i="3"/>
  <c r="R57" i="3"/>
  <c r="X56" i="3"/>
  <c r="W56" i="3"/>
  <c r="V56" i="3"/>
  <c r="U56" i="3"/>
  <c r="T56" i="3"/>
  <c r="S56" i="3"/>
  <c r="M56" i="3"/>
  <c r="L56" i="3"/>
  <c r="J56" i="3"/>
  <c r="B29" i="3"/>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C142" i="3"/>
  <c r="C105" i="3"/>
  <c r="C104" i="3"/>
  <c r="C101" i="3"/>
  <c r="C100" i="3"/>
  <c r="C132" i="3"/>
  <c r="C130" i="3"/>
  <c r="C22" i="3"/>
  <c r="W62" i="4"/>
  <c r="W61" i="4"/>
  <c r="F62" i="4"/>
  <c r="F55" i="4"/>
  <c r="W42" i="4"/>
  <c r="D7" i="14"/>
  <c r="D141" i="4"/>
  <c r="F42" i="4"/>
  <c r="T42" i="4"/>
  <c r="V42" i="4" s="1"/>
  <c r="A127" i="15"/>
  <c r="C128" i="15" s="1"/>
  <c r="A302" i="15"/>
  <c r="C50" i="15" s="1"/>
  <c r="C302" i="15"/>
  <c r="D27" i="15"/>
  <c r="C45" i="15"/>
  <c r="C46" i="15" s="1"/>
  <c r="C49" i="15" s="1"/>
  <c r="D7" i="15"/>
  <c r="D142" i="4"/>
  <c r="C125" i="15"/>
  <c r="C58" i="15"/>
  <c r="C183" i="15"/>
  <c r="D193" i="15"/>
  <c r="D190" i="15"/>
  <c r="C190" i="15"/>
  <c r="C194" i="15"/>
  <c r="C57" i="15"/>
  <c r="D194" i="15"/>
  <c r="D192" i="15"/>
  <c r="D191" i="15"/>
  <c r="D189" i="15"/>
  <c r="D188" i="15"/>
  <c r="D187" i="15"/>
  <c r="D186" i="15"/>
  <c r="D185" i="15"/>
  <c r="D184" i="15"/>
  <c r="D183" i="15"/>
  <c r="C193" i="15"/>
  <c r="C192" i="15"/>
  <c r="C191" i="15"/>
  <c r="C189" i="15"/>
  <c r="C188" i="15"/>
  <c r="C187" i="15"/>
  <c r="C186" i="15"/>
  <c r="C185" i="15"/>
  <c r="C184" i="15"/>
  <c r="C53" i="15"/>
  <c r="C54" i="15"/>
  <c r="A57" i="15"/>
  <c r="D123" i="15"/>
  <c r="C123" i="15"/>
  <c r="D122" i="15"/>
  <c r="C122" i="15"/>
  <c r="D121" i="15"/>
  <c r="C121" i="15"/>
  <c r="D114" i="15"/>
  <c r="C114" i="15"/>
  <c r="D113" i="15"/>
  <c r="C113" i="15"/>
  <c r="D112" i="15"/>
  <c r="C112" i="15"/>
  <c r="D111" i="15"/>
  <c r="C111" i="15"/>
  <c r="D110" i="15"/>
  <c r="C110" i="15"/>
  <c r="D109" i="15"/>
  <c r="C109" i="15"/>
  <c r="D108" i="15"/>
  <c r="C108" i="15"/>
  <c r="D107" i="15"/>
  <c r="C107" i="15"/>
  <c r="D106" i="15"/>
  <c r="C106" i="15"/>
  <c r="D105" i="15"/>
  <c r="C105" i="15"/>
  <c r="D104" i="15"/>
  <c r="C104" i="15"/>
  <c r="D103" i="15"/>
  <c r="C103" i="15"/>
  <c r="D102" i="15"/>
  <c r="C102" i="15"/>
  <c r="C48" i="15"/>
  <c r="G10" i="15"/>
  <c r="D27" i="14"/>
  <c r="D123" i="14"/>
  <c r="D121" i="14"/>
  <c r="D122" i="14"/>
  <c r="C122" i="14"/>
  <c r="C121" i="14"/>
  <c r="D57" i="14"/>
  <c r="D114" i="14"/>
  <c r="D113" i="14"/>
  <c r="D112" i="14"/>
  <c r="D111" i="14"/>
  <c r="D110" i="14"/>
  <c r="D109" i="14"/>
  <c r="D108" i="14"/>
  <c r="D107" i="14"/>
  <c r="D106" i="14"/>
  <c r="D105" i="14"/>
  <c r="D104" i="14"/>
  <c r="D103" i="14"/>
  <c r="C114" i="14"/>
  <c r="C113" i="14"/>
  <c r="C112" i="14"/>
  <c r="C111" i="14"/>
  <c r="C110" i="14"/>
  <c r="C109" i="14"/>
  <c r="D51" i="14"/>
  <c r="C108" i="14"/>
  <c r="C107" i="14"/>
  <c r="C106" i="14"/>
  <c r="C105" i="14"/>
  <c r="C104" i="14"/>
  <c r="C103" i="14"/>
  <c r="C102" i="14"/>
  <c r="D102" i="14"/>
  <c r="D46" i="14"/>
  <c r="D48" i="14" s="1"/>
  <c r="C123" i="14"/>
  <c r="D58" i="14"/>
  <c r="D53" i="14"/>
  <c r="D54" i="14"/>
  <c r="G10" i="14"/>
  <c r="G180" i="16"/>
  <c r="E27" i="16"/>
  <c r="A121" i="16" s="1"/>
  <c r="J76" i="16"/>
  <c r="A78" i="16"/>
  <c r="A4" i="16"/>
  <c r="A3" i="16"/>
  <c r="G76" i="4"/>
  <c r="L76" i="4"/>
  <c r="P76" i="4"/>
  <c r="T76" i="4"/>
  <c r="V76" i="4" s="1"/>
  <c r="E142" i="4"/>
  <c r="C142" i="4"/>
  <c r="T86" i="4"/>
  <c r="P86" i="4"/>
  <c r="L86" i="4"/>
  <c r="G86" i="4"/>
  <c r="F86" i="4"/>
  <c r="T67" i="4"/>
  <c r="V67" i="4" s="1"/>
  <c r="L67" i="4"/>
  <c r="G67" i="4"/>
  <c r="W67" i="4" s="1"/>
  <c r="G50" i="4"/>
  <c r="V50" i="4" s="1"/>
  <c r="F67" i="4"/>
  <c r="F77" i="4"/>
  <c r="F76" i="4"/>
  <c r="F54" i="4"/>
  <c r="F53" i="4"/>
  <c r="F52" i="4"/>
  <c r="F51" i="4"/>
  <c r="F50" i="4"/>
  <c r="F49" i="4"/>
  <c r="F48" i="4"/>
  <c r="F65" i="4"/>
  <c r="F64" i="4"/>
  <c r="F63" i="4"/>
  <c r="F47" i="4"/>
  <c r="F41" i="4"/>
  <c r="F43" i="4"/>
  <c r="F44" i="4"/>
  <c r="W77" i="4"/>
  <c r="W76" i="4"/>
  <c r="W44" i="4"/>
  <c r="W54" i="4"/>
  <c r="W49" i="4"/>
  <c r="W50" i="4"/>
  <c r="W51" i="4"/>
  <c r="W52" i="4"/>
  <c r="W53" i="4"/>
  <c r="W48" i="4"/>
  <c r="W47" i="4"/>
  <c r="W43" i="4"/>
  <c r="W41" i="4"/>
  <c r="W66" i="4"/>
  <c r="W65" i="4"/>
  <c r="W64" i="4"/>
  <c r="W63" i="4"/>
  <c r="V66" i="4"/>
  <c r="V65" i="4"/>
  <c r="V64" i="4"/>
  <c r="V63" i="4"/>
  <c r="G53" i="4"/>
  <c r="L53" i="4"/>
  <c r="P53" i="4"/>
  <c r="G52" i="4"/>
  <c r="L52" i="4"/>
  <c r="V52" i="4"/>
  <c r="P52" i="4"/>
  <c r="T52" i="4"/>
  <c r="G54" i="4"/>
  <c r="L54" i="4"/>
  <c r="P54" i="4"/>
  <c r="T49" i="4"/>
  <c r="G49" i="4"/>
  <c r="L49" i="4"/>
  <c r="P49" i="4"/>
  <c r="T50" i="4"/>
  <c r="L50" i="4"/>
  <c r="P50" i="4"/>
  <c r="T51" i="4"/>
  <c r="G51" i="4"/>
  <c r="V51" i="4" s="1"/>
  <c r="L51" i="4"/>
  <c r="P51" i="4"/>
  <c r="G48" i="4"/>
  <c r="V48" i="4" s="1"/>
  <c r="L48" i="4"/>
  <c r="P48" i="4"/>
  <c r="T48" i="4"/>
  <c r="T44" i="4"/>
  <c r="V44" i="4" s="1"/>
  <c r="T41" i="4"/>
  <c r="V47" i="4"/>
  <c r="V41" i="4"/>
  <c r="X49" i="2"/>
  <c r="Y51" i="2" s="1"/>
  <c r="X51" i="2" s="1"/>
  <c r="D31" i="2"/>
  <c r="X41" i="2"/>
  <c r="X42" i="2" s="1"/>
  <c r="Y41" i="2"/>
  <c r="Y44" i="2" s="1"/>
  <c r="Y42" i="2"/>
  <c r="X55" i="2"/>
  <c r="Y56" i="2"/>
  <c r="X56" i="2" s="1"/>
  <c r="W49" i="2"/>
  <c r="V50" i="2"/>
  <c r="W50" i="2"/>
  <c r="V51" i="2"/>
  <c r="W51" i="2" s="1"/>
  <c r="B83" i="2"/>
  <c r="C48" i="2"/>
  <c r="B76" i="2"/>
  <c r="B80" i="2"/>
  <c r="B88" i="2"/>
  <c r="C46" i="2"/>
  <c r="B77" i="2"/>
  <c r="B78" i="2"/>
  <c r="B79" i="2"/>
  <c r="B81" i="2"/>
  <c r="B82" i="2"/>
  <c r="B84" i="2"/>
  <c r="B85" i="2"/>
  <c r="B86" i="2"/>
  <c r="B87" i="2"/>
  <c r="C44" i="2"/>
  <c r="D42" i="2"/>
  <c r="D41" i="2"/>
  <c r="V86" i="4"/>
  <c r="V49" i="4"/>
  <c r="C198" i="4"/>
  <c r="B199" i="4"/>
  <c r="Y57" i="2"/>
  <c r="X57" i="2" s="1"/>
  <c r="P55" i="4"/>
  <c r="L61" i="4"/>
  <c r="O57" i="4"/>
  <c r="P57" i="4" s="1"/>
  <c r="N58" i="4"/>
  <c r="R58" i="4" s="1"/>
  <c r="T58" i="4" s="1"/>
  <c r="R59" i="4"/>
  <c r="T59" i="4" s="1"/>
  <c r="O80" i="4"/>
  <c r="S80" i="4" s="1"/>
  <c r="C197" i="4"/>
  <c r="C182" i="4"/>
  <c r="AA42" i="3"/>
  <c r="X43" i="4"/>
  <c r="X47" i="4"/>
  <c r="X51" i="4"/>
  <c r="X40" i="4"/>
  <c r="X44" i="4"/>
  <c r="X48" i="4"/>
  <c r="X52" i="4"/>
  <c r="X41" i="4"/>
  <c r="X45" i="4"/>
  <c r="X49" i="4"/>
  <c r="X42" i="4"/>
  <c r="X46" i="4"/>
  <c r="P58" i="4"/>
  <c r="S57" i="4"/>
  <c r="B200" i="4"/>
  <c r="C199" i="4"/>
  <c r="V57" i="4"/>
  <c r="B201" i="4"/>
  <c r="C200" i="4"/>
  <c r="B202" i="4"/>
  <c r="B203" i="4" s="1"/>
  <c r="B204" i="4" s="1"/>
  <c r="C201" i="4"/>
  <c r="C202" i="4"/>
  <c r="W28" i="3" l="1"/>
  <c r="J28" i="3" s="1"/>
  <c r="L28" i="3" s="1"/>
  <c r="X28" i="3"/>
  <c r="K28" i="3" s="1"/>
  <c r="I29" i="3"/>
  <c r="V29" i="3" s="1"/>
  <c r="X29" i="3" s="1"/>
  <c r="W29" i="3"/>
  <c r="J29" i="3" s="1"/>
  <c r="Q29" i="3" s="1"/>
  <c r="M29" i="3"/>
  <c r="AF28" i="3"/>
  <c r="AA28" i="3"/>
  <c r="M28" i="3"/>
  <c r="Z28" i="3"/>
  <c r="O28" i="3" s="1"/>
  <c r="V56" i="4"/>
  <c r="R61" i="4"/>
  <c r="T61" i="4" s="1"/>
  <c r="P61" i="4"/>
  <c r="V61" i="4" s="1"/>
  <c r="T79" i="4"/>
  <c r="V79" i="4" s="1"/>
  <c r="C203" i="4"/>
  <c r="V58" i="4"/>
  <c r="T54" i="4"/>
  <c r="V54" i="4" s="1"/>
  <c r="P80" i="4"/>
  <c r="R80" i="4"/>
  <c r="T80" i="4" s="1"/>
  <c r="B184" i="4"/>
  <c r="C183" i="4"/>
  <c r="B264" i="4"/>
  <c r="C263" i="4"/>
  <c r="B254" i="4"/>
  <c r="C253" i="4"/>
  <c r="B205" i="4"/>
  <c r="C204" i="4"/>
  <c r="V53" i="4"/>
  <c r="V55" i="4"/>
  <c r="T55" i="4"/>
  <c r="V59" i="4"/>
  <c r="B244" i="4"/>
  <c r="C243" i="4"/>
  <c r="C25" i="3"/>
  <c r="C262" i="4"/>
  <c r="R60" i="4"/>
  <c r="T60" i="4" s="1"/>
  <c r="V60" i="4" s="1"/>
  <c r="S79" i="4"/>
  <c r="B213" i="4"/>
  <c r="Z34" i="3"/>
  <c r="C60" i="3"/>
  <c r="B3" i="8" s="1"/>
  <c r="B7" i="8" s="1"/>
  <c r="Y60" i="3" s="1"/>
  <c r="X58" i="2"/>
  <c r="D46" i="2" s="1"/>
  <c r="Q40" i="3"/>
  <c r="Q44" i="3"/>
  <c r="Q48" i="3"/>
  <c r="V84" i="4"/>
  <c r="W52" i="2"/>
  <c r="D44" i="2" s="1"/>
  <c r="AK55" i="3"/>
  <c r="AK52" i="3"/>
  <c r="AL48" i="3"/>
  <c r="AL46" i="3"/>
  <c r="Z37" i="3"/>
  <c r="AL36" i="3"/>
  <c r="Z51" i="3"/>
  <c r="Q30" i="3"/>
  <c r="AK56" i="3"/>
  <c r="AL56" i="3"/>
  <c r="Q32" i="3"/>
  <c r="Z45" i="3"/>
  <c r="Z55" i="3"/>
  <c r="Z36" i="3"/>
  <c r="AA49" i="3"/>
  <c r="AK30" i="3"/>
  <c r="AL55" i="3"/>
  <c r="Q31" i="3"/>
  <c r="Z47" i="3"/>
  <c r="AK44" i="3"/>
  <c r="A125" i="16"/>
  <c r="A96" i="16"/>
  <c r="A50" i="16"/>
  <c r="Q36" i="3"/>
  <c r="Q41" i="3"/>
  <c r="Q45" i="3"/>
  <c r="Q49" i="3"/>
  <c r="Q53" i="3"/>
  <c r="AA32" i="3"/>
  <c r="AA53" i="3"/>
  <c r="Z41" i="3"/>
  <c r="AA35" i="3"/>
  <c r="AK48" i="3"/>
  <c r="AK47" i="3"/>
  <c r="AL51" i="3"/>
  <c r="Z40" i="3"/>
  <c r="AL54" i="3"/>
  <c r="AL52" i="3"/>
  <c r="Z42" i="2"/>
  <c r="D40" i="2" s="1"/>
  <c r="X44" i="2"/>
  <c r="Z44" i="2" s="1"/>
  <c r="D39" i="2" s="1"/>
  <c r="Y50" i="2"/>
  <c r="X50" i="2" s="1"/>
  <c r="X52" i="2" s="1"/>
  <c r="D48" i="2" s="1"/>
  <c r="AL49" i="3"/>
  <c r="AK37" i="3"/>
  <c r="Q34" i="3"/>
  <c r="Q38" i="3"/>
  <c r="Q55" i="3"/>
  <c r="Q33" i="3"/>
  <c r="AK54" i="3"/>
  <c r="Q35" i="3"/>
  <c r="Q37" i="3"/>
  <c r="Q39" i="3"/>
  <c r="Q42" i="3"/>
  <c r="Q47" i="3"/>
  <c r="Q51" i="3"/>
  <c r="Q54" i="3"/>
  <c r="Q56" i="3"/>
  <c r="Z33" i="3"/>
  <c r="AA39" i="3"/>
  <c r="Z44" i="3"/>
  <c r="Z48" i="3"/>
  <c r="Z52" i="3"/>
  <c r="Z56" i="3"/>
  <c r="AL50" i="3"/>
  <c r="AL47" i="3"/>
  <c r="Z29" i="3"/>
  <c r="AL44" i="3"/>
  <c r="AA43" i="3"/>
  <c r="Q52" i="3"/>
  <c r="Q43" i="3"/>
  <c r="Q46" i="3"/>
  <c r="Q50" i="3"/>
  <c r="AK51" i="3"/>
  <c r="AD57" i="3"/>
  <c r="AG57" i="3" s="1"/>
  <c r="H25" i="3"/>
  <c r="N8" i="3" s="1"/>
  <c r="D25" i="3"/>
  <c r="U25" i="3"/>
  <c r="F8" i="3" s="1"/>
  <c r="T57" i="3"/>
  <c r="I57" i="3" s="1"/>
  <c r="V57" i="3" s="1"/>
  <c r="AL45" i="3"/>
  <c r="AK29" i="3"/>
  <c r="AK43" i="3"/>
  <c r="AL29" i="3"/>
  <c r="AL33" i="3"/>
  <c r="AL39" i="3"/>
  <c r="AK42" i="3"/>
  <c r="A113" i="16"/>
  <c r="Z31" i="3"/>
  <c r="AK53" i="3"/>
  <c r="AK49" i="3"/>
  <c r="AK45" i="3"/>
  <c r="AK41" i="3"/>
  <c r="AK32" i="3"/>
  <c r="AK39" i="3"/>
  <c r="AK33" i="3"/>
  <c r="AL31" i="3"/>
  <c r="AL35" i="3"/>
  <c r="AL37" i="3"/>
  <c r="AL41" i="3"/>
  <c r="AL43" i="3"/>
  <c r="AK46" i="3"/>
  <c r="AK35" i="3"/>
  <c r="AK38" i="3"/>
  <c r="AA57" i="3"/>
  <c r="AL53" i="3"/>
  <c r="AK50" i="3"/>
  <c r="AK31" i="3"/>
  <c r="AK34" i="3"/>
  <c r="AK36" i="3"/>
  <c r="A29" i="3"/>
  <c r="S57" i="3"/>
  <c r="B19" i="8" s="1"/>
  <c r="A24" i="8" s="1"/>
  <c r="G24" i="8" s="1"/>
  <c r="AI60" i="3"/>
  <c r="B17" i="8"/>
  <c r="L22" i="3"/>
  <c r="P22" i="3" s="1"/>
  <c r="N11" i="3"/>
  <c r="W22" i="3"/>
  <c r="F9" i="3" s="1"/>
  <c r="D20" i="14"/>
  <c r="F13" i="3"/>
  <c r="B14" i="7"/>
  <c r="D24" i="2"/>
  <c r="F12" i="3"/>
  <c r="B14" i="8"/>
  <c r="A76" i="16"/>
  <c r="D20" i="15"/>
  <c r="Z57" i="3"/>
  <c r="AI57" i="3"/>
  <c r="B11" i="7"/>
  <c r="B10" i="7"/>
  <c r="U63" i="3" s="1"/>
  <c r="D3" i="7"/>
  <c r="B7" i="7"/>
  <c r="Y63" i="3" s="1"/>
  <c r="B12" i="7"/>
  <c r="B6" i="7"/>
  <c r="B8" i="7"/>
  <c r="B9" i="7"/>
  <c r="B8" i="8"/>
  <c r="B10" i="8"/>
  <c r="N9" i="3" l="1"/>
  <c r="Q28" i="3"/>
  <c r="L29" i="3"/>
  <c r="P29" i="3" s="1"/>
  <c r="K29" i="3"/>
  <c r="N28" i="3"/>
  <c r="C244" i="4"/>
  <c r="B245" i="4"/>
  <c r="B185" i="4"/>
  <c r="C184" i="4"/>
  <c r="B255" i="4"/>
  <c r="C254" i="4"/>
  <c r="D3" i="8"/>
  <c r="B6" i="8"/>
  <c r="AB60" i="3"/>
  <c r="B9" i="8"/>
  <c r="B11" i="8"/>
  <c r="B214" i="4"/>
  <c r="C213" i="4"/>
  <c r="B206" i="4"/>
  <c r="C205" i="4"/>
  <c r="B12" i="8"/>
  <c r="U22" i="3"/>
  <c r="F22" i="3" s="1"/>
  <c r="C264" i="4"/>
  <c r="B265" i="4"/>
  <c r="V80" i="4"/>
  <c r="K25" i="3"/>
  <c r="W57" i="3"/>
  <c r="J57" i="3" s="1"/>
  <c r="Q57" i="3" s="1"/>
  <c r="X57" i="3"/>
  <c r="K57" i="3" s="1"/>
  <c r="N14" i="3"/>
  <c r="AK57" i="3"/>
  <c r="AL57" i="3"/>
  <c r="M63" i="3"/>
  <c r="E25" i="8"/>
  <c r="E24" i="8"/>
  <c r="C24" i="8"/>
  <c r="C25" i="8"/>
  <c r="D25" i="8" s="1"/>
  <c r="B15" i="8"/>
  <c r="A79" i="16"/>
  <c r="B15" i="7"/>
  <c r="D23" i="14"/>
  <c r="D24" i="14"/>
  <c r="D26" i="14"/>
  <c r="D21" i="14"/>
  <c r="D23" i="15"/>
  <c r="D26" i="15"/>
  <c r="D24" i="15"/>
  <c r="D21" i="15"/>
  <c r="D30" i="2"/>
  <c r="D28" i="2"/>
  <c r="D27" i="2"/>
  <c r="D25" i="2"/>
  <c r="H24" i="8"/>
  <c r="M24" i="8"/>
  <c r="U60" i="3"/>
  <c r="M60" i="3"/>
  <c r="Z60" i="3"/>
  <c r="AA60" i="3"/>
  <c r="AD60" i="3"/>
  <c r="AG60" i="3" s="1"/>
  <c r="AE60" i="3"/>
  <c r="N29" i="3" l="1"/>
  <c r="O57" i="3"/>
  <c r="N12" i="3"/>
  <c r="C214" i="4"/>
  <c r="B215" i="4"/>
  <c r="F24" i="8"/>
  <c r="C265" i="4"/>
  <c r="B266" i="4"/>
  <c r="B186" i="4"/>
  <c r="C185" i="4"/>
  <c r="B207" i="4"/>
  <c r="C206" i="4"/>
  <c r="B246" i="4"/>
  <c r="C245" i="4"/>
  <c r="C255" i="4"/>
  <c r="B256" i="4"/>
  <c r="L57" i="3"/>
  <c r="N57" i="3" s="1"/>
  <c r="D24" i="8"/>
  <c r="I24" i="8" s="1"/>
  <c r="J24" i="8" s="1"/>
  <c r="K24" i="8" s="1"/>
  <c r="L24" i="8" s="1"/>
  <c r="N24" i="8" s="1"/>
  <c r="O24" i="8" s="1"/>
  <c r="A25" i="8" s="1"/>
  <c r="C29" i="8" s="1"/>
  <c r="F25" i="8"/>
  <c r="D25" i="15"/>
  <c r="D9" i="15"/>
  <c r="D25" i="14"/>
  <c r="G7" i="14" s="1"/>
  <c r="D9" i="14"/>
  <c r="D18" i="2"/>
  <c r="G19" i="2" s="1"/>
  <c r="D29" i="2"/>
  <c r="G16" i="2" s="1"/>
  <c r="G7" i="15"/>
  <c r="AK63" i="3"/>
  <c r="O63" i="3" s="1"/>
  <c r="AL63" i="3"/>
  <c r="AK60" i="3"/>
  <c r="AL60" i="3"/>
  <c r="P57" i="3" l="1"/>
  <c r="B208" i="4"/>
  <c r="C207" i="4"/>
  <c r="B247" i="4"/>
  <c r="C246" i="4"/>
  <c r="B187" i="4"/>
  <c r="C186" i="4"/>
  <c r="C215" i="4"/>
  <c r="B216" i="4"/>
  <c r="C256" i="4"/>
  <c r="B257" i="4"/>
  <c r="B267" i="4"/>
  <c r="C266" i="4"/>
  <c r="H25" i="8"/>
  <c r="I25" i="8" s="1"/>
  <c r="J25" i="8" s="1"/>
  <c r="G25" i="8"/>
  <c r="M25" i="8"/>
  <c r="O60" i="3"/>
  <c r="K25" i="8" l="1"/>
  <c r="L25" i="8" s="1"/>
  <c r="N25" i="8" s="1"/>
  <c r="P25" i="8" s="1"/>
  <c r="B19" i="7" s="1"/>
  <c r="B20" i="7" s="1"/>
  <c r="B217" i="4"/>
  <c r="C216" i="4"/>
  <c r="C267" i="4"/>
  <c r="B268" i="4"/>
  <c r="B248" i="4"/>
  <c r="C247" i="4"/>
  <c r="B258" i="4"/>
  <c r="C257" i="4"/>
  <c r="C187" i="4"/>
  <c r="B188" i="4"/>
  <c r="B209" i="4"/>
  <c r="C208" i="4"/>
  <c r="A24" i="7" l="1"/>
  <c r="G24" i="7" s="1"/>
  <c r="O25" i="8"/>
  <c r="I60" i="3" s="1"/>
  <c r="V60" i="3" s="1"/>
  <c r="X60" i="3" s="1"/>
  <c r="C209" i="4"/>
  <c r="B210" i="4"/>
  <c r="B259" i="4"/>
  <c r="C258" i="4"/>
  <c r="B189" i="4"/>
  <c r="C188" i="4"/>
  <c r="C268" i="4"/>
  <c r="B269" i="4"/>
  <c r="B249" i="4"/>
  <c r="C248" i="4"/>
  <c r="B218" i="4"/>
  <c r="C217" i="4"/>
  <c r="W60" i="3" l="1"/>
  <c r="J60" i="3" s="1"/>
  <c r="N13" i="3"/>
  <c r="Q13" i="3" s="1"/>
  <c r="H24" i="7"/>
  <c r="B24" i="7"/>
  <c r="C24" i="7" s="1"/>
  <c r="M24" i="7"/>
  <c r="B219" i="4"/>
  <c r="C218" i="4"/>
  <c r="B260" i="4"/>
  <c r="C259" i="4"/>
  <c r="C269" i="4"/>
  <c r="B270" i="4"/>
  <c r="C211" i="4"/>
  <c r="C210" i="4"/>
  <c r="B250" i="4"/>
  <c r="C249" i="4"/>
  <c r="B190" i="4"/>
  <c r="C189" i="4"/>
  <c r="L60" i="3"/>
  <c r="K60" i="3"/>
  <c r="E24" i="7"/>
  <c r="B191" i="4" l="1"/>
  <c r="C190" i="4"/>
  <c r="C261" i="4"/>
  <c r="C260" i="4"/>
  <c r="C271" i="4"/>
  <c r="C270" i="4"/>
  <c r="C250" i="4"/>
  <c r="C251" i="4"/>
  <c r="C219" i="4"/>
  <c r="B220" i="4"/>
  <c r="P60" i="3"/>
  <c r="N60" i="3"/>
  <c r="F24" i="7"/>
  <c r="D24" i="7"/>
  <c r="I24" i="7" s="1"/>
  <c r="J24" i="7" s="1"/>
  <c r="K24" i="7" s="1"/>
  <c r="L24" i="7" s="1"/>
  <c r="N24" i="7" l="1"/>
  <c r="O24" i="7" s="1"/>
  <c r="A25" i="7" s="1"/>
  <c r="B25" i="7" s="1"/>
  <c r="B221" i="4"/>
  <c r="C220" i="4"/>
  <c r="C191" i="4"/>
  <c r="B192" i="4"/>
  <c r="H25" i="7" l="1"/>
  <c r="G25" i="7"/>
  <c r="M25" i="7"/>
  <c r="B193" i="4"/>
  <c r="C192" i="4"/>
  <c r="B222" i="4"/>
  <c r="C221" i="4"/>
  <c r="E25" i="7"/>
  <c r="C25" i="7"/>
  <c r="B223" i="4" l="1"/>
  <c r="C222" i="4"/>
  <c r="B194" i="4"/>
  <c r="C193" i="4"/>
  <c r="F25" i="7"/>
  <c r="D25" i="7"/>
  <c r="I25" i="7" s="1"/>
  <c r="J25" i="7" s="1"/>
  <c r="K25" i="7" s="1"/>
  <c r="L25" i="7" s="1"/>
  <c r="B195" i="4" l="1"/>
  <c r="C194" i="4"/>
  <c r="C223" i="4"/>
  <c r="B224" i="4"/>
  <c r="N25" i="7"/>
  <c r="O25" i="7" s="1"/>
  <c r="I63" i="3" s="1"/>
  <c r="V63" i="3" s="1"/>
  <c r="B225" i="4" l="1"/>
  <c r="C224" i="4"/>
  <c r="C195" i="4"/>
  <c r="C196" i="4"/>
  <c r="P25" i="7"/>
  <c r="F16" i="3" s="1"/>
  <c r="X63" i="3"/>
  <c r="W63" i="3"/>
  <c r="J63" i="3" s="1"/>
  <c r="C225" i="4" l="1"/>
  <c r="B226" i="4"/>
  <c r="Q25" i="7"/>
  <c r="N16" i="3" s="1"/>
  <c r="Q16" i="3" s="1"/>
  <c r="L63" i="3"/>
  <c r="K63" i="3"/>
  <c r="K65" i="3" s="1"/>
  <c r="B227" i="4" l="1"/>
  <c r="C226" i="4"/>
  <c r="N63" i="3"/>
  <c r="N65" i="3" s="1"/>
  <c r="P63" i="3"/>
  <c r="P65" i="3" s="1"/>
  <c r="U66" i="3" l="1"/>
  <c r="F67" i="3"/>
  <c r="F18" i="3" s="1"/>
  <c r="N67" i="3"/>
  <c r="B228" i="4"/>
  <c r="C227" i="4"/>
  <c r="Q67" i="3" l="1"/>
  <c r="K67" i="3"/>
  <c r="N18" i="3"/>
  <c r="Q18" i="3" s="1"/>
  <c r="B229" i="4"/>
  <c r="C228" i="4"/>
  <c r="B230" i="4" l="1"/>
  <c r="C229" i="4"/>
  <c r="B231" i="4" l="1"/>
  <c r="C230" i="4"/>
  <c r="C231" i="4" l="1"/>
  <c r="B232" i="4"/>
  <c r="B233" i="4" l="1"/>
  <c r="C232" i="4"/>
  <c r="B234" i="4" l="1"/>
  <c r="C233" i="4"/>
  <c r="B235" i="4" l="1"/>
  <c r="C234" i="4"/>
  <c r="C235" i="4" l="1"/>
  <c r="B236" i="4"/>
  <c r="B237" i="4" l="1"/>
  <c r="C236" i="4"/>
  <c r="B238" i="4" l="1"/>
  <c r="C237" i="4"/>
  <c r="B239" i="4" l="1"/>
  <c r="C238" i="4"/>
  <c r="C239" i="4" l="1"/>
  <c r="B240" i="4"/>
  <c r="C240" i="4" l="1"/>
  <c r="C241" i="4"/>
</calcChain>
</file>

<file path=xl/comments1.xml><?xml version="1.0" encoding="utf-8"?>
<comments xmlns="http://schemas.openxmlformats.org/spreadsheetml/2006/main">
  <authors>
    <author>ZekicJos</author>
  </authors>
  <commentList>
    <comment ref="I22" authorId="0">
      <text>
        <r>
          <rPr>
            <b/>
            <sz val="12"/>
            <color indexed="81"/>
            <rFont val="Tahoma"/>
            <family val="2"/>
          </rPr>
          <t>Zulufttemperatur</t>
        </r>
      </text>
    </comment>
  </commentList>
</comments>
</file>

<file path=xl/comments2.xml><?xml version="1.0" encoding="utf-8"?>
<comments xmlns="http://schemas.openxmlformats.org/spreadsheetml/2006/main">
  <authors>
    <author>HaselbRu</author>
    <author>ZekicJos</author>
  </authors>
  <commentList>
    <comment ref="C39" authorId="0">
      <text>
        <r>
          <rPr>
            <b/>
            <sz val="8"/>
            <color indexed="81"/>
            <rFont val="Tahoma"/>
          </rPr>
          <t>HaselbRu:</t>
        </r>
        <r>
          <rPr>
            <sz val="8"/>
            <color indexed="81"/>
            <rFont val="Tahoma"/>
          </rPr>
          <t xml:space="preserve">
Formbeiwert:
1=rund
1,27=quadratisch
1,3=rechteckig bis zu einem Seitenverhältnis von 1:1,5</t>
        </r>
      </text>
    </comment>
    <comment ref="F39" authorId="1">
      <text>
        <r>
          <rPr>
            <b/>
            <sz val="8"/>
            <color indexed="81"/>
            <rFont val="Tahoma"/>
          </rPr>
          <t>ZekicJos:</t>
        </r>
        <r>
          <rPr>
            <sz val="8"/>
            <color indexed="81"/>
            <rFont val="Tahoma"/>
          </rPr>
          <t xml:space="preserve">
Innerer Schornsteinumfang</t>
        </r>
      </text>
    </comment>
    <comment ref="G39" authorId="1">
      <text>
        <r>
          <rPr>
            <b/>
            <sz val="8"/>
            <color indexed="81"/>
            <rFont val="Tahoma"/>
          </rPr>
          <t>ZekicJos:
Hydraulischer Durchmesser
Dh=(4.A)/U</t>
        </r>
      </text>
    </comment>
    <comment ref="H39" authorId="1">
      <text>
        <r>
          <rPr>
            <b/>
            <sz val="8"/>
            <color indexed="81"/>
            <rFont val="Tahoma"/>
          </rPr>
          <t>ZekicJos:</t>
        </r>
        <r>
          <rPr>
            <sz val="8"/>
            <color indexed="81"/>
            <rFont val="Tahoma"/>
          </rPr>
          <t xml:space="preserve">
Wärmeleitkoeffizient des Baustoffes einer Schicht bei Betriebstemperatur</t>
        </r>
      </text>
    </comment>
    <comment ref="I39" authorId="1">
      <text>
        <r>
          <rPr>
            <b/>
            <sz val="8"/>
            <color indexed="81"/>
            <rFont val="Tahoma"/>
          </rPr>
          <t>ZekicJos:</t>
        </r>
        <r>
          <rPr>
            <sz val="8"/>
            <color indexed="81"/>
            <rFont val="Tahoma"/>
          </rPr>
          <t xml:space="preserve">
Rauhigkeitshöhe kf</t>
        </r>
      </text>
    </comment>
    <comment ref="L39" authorId="1">
      <text>
        <r>
          <rPr>
            <b/>
            <sz val="8"/>
            <color indexed="81"/>
            <rFont val="Tahoma"/>
          </rPr>
          <t>ZekicJos:
Hydraulischer Durchmesser
Dh=(4.A)/U</t>
        </r>
      </text>
    </comment>
    <comment ref="P39" authorId="1">
      <text>
        <r>
          <rPr>
            <b/>
            <sz val="8"/>
            <color indexed="81"/>
            <rFont val="Tahoma"/>
          </rPr>
          <t>ZekicJos:
Hydraulischer Durchmesser
Dh=(4.A)/U</t>
        </r>
      </text>
    </comment>
    <comment ref="Q39" authorId="1">
      <text>
        <r>
          <rPr>
            <b/>
            <sz val="8"/>
            <color indexed="81"/>
            <rFont val="Tahoma"/>
          </rPr>
          <t>ZekicJos:</t>
        </r>
        <r>
          <rPr>
            <sz val="8"/>
            <color indexed="81"/>
            <rFont val="Tahoma"/>
          </rPr>
          <t xml:space="preserve">
Wärmeleitkoeffizient des Baustoffes einer Schicht bei Betriebstemperatur</t>
        </r>
      </text>
    </comment>
    <comment ref="U39" authorId="1">
      <text>
        <r>
          <rPr>
            <b/>
            <sz val="8"/>
            <color indexed="81"/>
            <rFont val="Tahoma"/>
          </rPr>
          <t>ZekicJos:</t>
        </r>
        <r>
          <rPr>
            <sz val="8"/>
            <color indexed="81"/>
            <rFont val="Tahoma"/>
          </rPr>
          <t xml:space="preserve">
Formbeiwert des Querschnittes:
rund=1 
quadratisch=1,27 
rechteckig=1,30 bis zu einem Seitenverhältnis von 1:2,5</t>
        </r>
      </text>
    </comment>
    <comment ref="C75" authorId="0">
      <text>
        <r>
          <rPr>
            <b/>
            <sz val="8"/>
            <color indexed="81"/>
            <rFont val="Tahoma"/>
          </rPr>
          <t>HaselbRu:</t>
        </r>
        <r>
          <rPr>
            <sz val="8"/>
            <color indexed="81"/>
            <rFont val="Tahoma"/>
          </rPr>
          <t xml:space="preserve">
Formbeiwert:
1=rund
1,27=quadratisch
1,3=rechteckig bis zu einem Seitenverhältnis von 1:1,5</t>
        </r>
      </text>
    </comment>
    <comment ref="H75" authorId="1">
      <text>
        <r>
          <rPr>
            <b/>
            <sz val="8"/>
            <color indexed="81"/>
            <rFont val="Tahoma"/>
          </rPr>
          <t>ZekicJos:</t>
        </r>
        <r>
          <rPr>
            <sz val="8"/>
            <color indexed="81"/>
            <rFont val="Tahoma"/>
          </rPr>
          <t xml:space="preserve">
Wärmeleitkoeffizient des Baustoffes einer Schicht bei Betriebstemperatur</t>
        </r>
      </text>
    </comment>
    <comment ref="Q75" authorId="1">
      <text>
        <r>
          <rPr>
            <b/>
            <sz val="8"/>
            <color indexed="81"/>
            <rFont val="Tahoma"/>
          </rPr>
          <t>ZekicJos:</t>
        </r>
        <r>
          <rPr>
            <sz val="8"/>
            <color indexed="81"/>
            <rFont val="Tahoma"/>
          </rPr>
          <t xml:space="preserve">
Wärmeleitkoeffizient des Baustoffes einer Schicht bei Betriebstemperatur</t>
        </r>
      </text>
    </comment>
    <comment ref="U75" authorId="1">
      <text>
        <r>
          <rPr>
            <b/>
            <sz val="8"/>
            <color indexed="81"/>
            <rFont val="Tahoma"/>
          </rPr>
          <t>ZekicJos:</t>
        </r>
        <r>
          <rPr>
            <sz val="8"/>
            <color indexed="81"/>
            <rFont val="Tahoma"/>
          </rPr>
          <t xml:space="preserve">
Formbeiwert des Querschnittes:
rund=1 
quadratisch=1,27 
rechteckig=1,30 bis zu einem Seitenverhältnis von 1:2,5</t>
        </r>
      </text>
    </comment>
  </commentList>
</comments>
</file>

<file path=xl/sharedStrings.xml><?xml version="1.0" encoding="utf-8"?>
<sst xmlns="http://schemas.openxmlformats.org/spreadsheetml/2006/main" count="927" uniqueCount="456">
  <si>
    <t>kW</t>
  </si>
  <si>
    <t>kg</t>
  </si>
  <si>
    <t>h</t>
  </si>
  <si>
    <t>cm²</t>
  </si>
  <si>
    <t>Breite b</t>
  </si>
  <si>
    <t>Tiefe  t</t>
  </si>
  <si>
    <t>Umfang</t>
  </si>
  <si>
    <t>cm</t>
  </si>
  <si>
    <t xml:space="preserve">cm </t>
  </si>
  <si>
    <t>m</t>
  </si>
  <si>
    <t>kg/h</t>
  </si>
  <si>
    <t>Seehöhe:</t>
  </si>
  <si>
    <t>Seehöhen-Korrekturfaktoren für lineare Regression</t>
  </si>
  <si>
    <t>Seehöhe</t>
  </si>
  <si>
    <t>Widerstandskoeffizient für Standardformen im Kachelofenbau</t>
  </si>
  <si>
    <t>Umlenkung [°]</t>
  </si>
  <si>
    <t>Zwischenwerte linear interpoliert</t>
  </si>
  <si>
    <t>Luftzufuhr</t>
  </si>
  <si>
    <t>Heizgaszug</t>
  </si>
  <si>
    <t>Strömungsgeschwindigkeit v</t>
  </si>
  <si>
    <t>[m]</t>
  </si>
  <si>
    <t>Rauhigkeitshöhe für Schamotterohre kf:</t>
  </si>
  <si>
    <t>Schornstein - Physikalische Eigenschaften und Abmessungen:</t>
  </si>
  <si>
    <t>Dreischalig Keramisch D 16 cm</t>
  </si>
  <si>
    <t>Dreischalig Keramisch D 18 cm</t>
  </si>
  <si>
    <t>Dreischalig Keramisch D 20 cm</t>
  </si>
  <si>
    <t>Dreischalig Keramisch D 22 cm</t>
  </si>
  <si>
    <t>Dreischalig Keramisch D 25 cm</t>
  </si>
  <si>
    <t>Nummer</t>
  </si>
  <si>
    <t>Bezeichung</t>
  </si>
  <si>
    <t>Verbindungsstück - Physikalische Eigenschaften und Abmessungen:</t>
  </si>
  <si>
    <t>Schicht 1</t>
  </si>
  <si>
    <t>Schicht 2</t>
  </si>
  <si>
    <t>Schicht 3</t>
  </si>
  <si>
    <t>y</t>
  </si>
  <si>
    <t>b [m]</t>
  </si>
  <si>
    <t>-</t>
  </si>
  <si>
    <t>Außenabmessung</t>
  </si>
  <si>
    <t>Wärmedurchlaßwiderstand</t>
  </si>
  <si>
    <t>Dreischalig Keramisch D 14 cm</t>
  </si>
  <si>
    <t>Systemkamin 3-schalig 14x14 cm</t>
  </si>
  <si>
    <t>Systemkamin 3-schalig 16x16 cm</t>
  </si>
  <si>
    <t>Systemkamin 3-schalig 18x18 cm</t>
  </si>
  <si>
    <t>Systemkamin 3-schalig 20x20 cm</t>
  </si>
  <si>
    <t>Systemkamin 3-schalig 25x25 cm</t>
  </si>
  <si>
    <t>Gemauert 16x16 cm</t>
  </si>
  <si>
    <t>Gemauert 18x18 cm</t>
  </si>
  <si>
    <t>Gemauert 20x20 cm</t>
  </si>
  <si>
    <t>Gemauert 14x14 cm</t>
  </si>
  <si>
    <t>Metallfang D 15 cm</t>
  </si>
  <si>
    <t>Metallfang D 13 cm</t>
  </si>
  <si>
    <t>Metallfang D 18 cm</t>
  </si>
  <si>
    <t>Metallfang D 20 cm</t>
  </si>
  <si>
    <t>Metallfang D 25 cm</t>
  </si>
  <si>
    <t>Individuell</t>
  </si>
  <si>
    <t>Schamottepoterie 12,5x12,5 cm</t>
  </si>
  <si>
    <t>h [m]</t>
  </si>
  <si>
    <t>Schamottepoterie 15x15 cm</t>
  </si>
  <si>
    <t>Schamottepoterie 18x18 cm</t>
  </si>
  <si>
    <t>Schamottepoterie 20x20 cm</t>
  </si>
  <si>
    <t>Tm [°C]</t>
  </si>
  <si>
    <t xml:space="preserve">Schornstein </t>
  </si>
  <si>
    <t xml:space="preserve">Querschnitt </t>
  </si>
  <si>
    <t>A [m²]</t>
  </si>
  <si>
    <t>Querschnitt A</t>
  </si>
  <si>
    <t>m²K/W</t>
  </si>
  <si>
    <t>m²</t>
  </si>
  <si>
    <t>wirks. Schornsteinhöhe</t>
  </si>
  <si>
    <t>Reynoldszahl Re</t>
  </si>
  <si>
    <t>Nußelt Zahl</t>
  </si>
  <si>
    <t>Wärmedurchgangskoeffizient k</t>
  </si>
  <si>
    <t>Hydraulischer Durchmesser Dhi</t>
  </si>
  <si>
    <t>Hydraulischer Durchmesser Dha</t>
  </si>
  <si>
    <t>Wärmedurchgangskoeffizient alfa aussen:</t>
  </si>
  <si>
    <t>[W/m²K]</t>
  </si>
  <si>
    <t>Us [m]</t>
  </si>
  <si>
    <t>Innerer Fangumfang  Us</t>
  </si>
  <si>
    <t xml:space="preserve">Abgasmassenstrom m </t>
  </si>
  <si>
    <t>cp [J/kgK]</t>
  </si>
  <si>
    <t>Wärmekapazität cp</t>
  </si>
  <si>
    <t>Mittl. Abgastemp. Schornstein tam</t>
  </si>
  <si>
    <t>Abgastemperatur t1 - Kleinlast 2/3:</t>
  </si>
  <si>
    <t>Abgastemperatur am Schornsteinaustritt t2</t>
  </si>
  <si>
    <t>Schornsteinkopfinnenwandtemperatur ti,2</t>
  </si>
  <si>
    <t>Länge des Verbindungsstückes</t>
  </si>
  <si>
    <t>Verbindungsstück</t>
  </si>
  <si>
    <t>Abgastemperatur am Verbindungsstückeineintritt t:</t>
  </si>
  <si>
    <t>Abgastemperatur am Verbindunsstückaustritt t2</t>
  </si>
  <si>
    <t>Schornsteineintrittstemperatur</t>
  </si>
  <si>
    <t>Querschnitt [m²]</t>
  </si>
  <si>
    <t>Biofeuerraum 2</t>
  </si>
  <si>
    <t>alfa1</t>
  </si>
  <si>
    <t>alfa2</t>
  </si>
  <si>
    <t>alfa3</t>
  </si>
  <si>
    <t>letzter Zug</t>
  </si>
  <si>
    <t>zeta1</t>
  </si>
  <si>
    <t>zeta2</t>
  </si>
  <si>
    <t>zeta3</t>
  </si>
  <si>
    <t>Breite [cm]</t>
  </si>
  <si>
    <t>Höhe h [cm]</t>
  </si>
  <si>
    <t>Fläche A [m²]</t>
  </si>
  <si>
    <t>mittlere Zuglänge [cm]</t>
  </si>
  <si>
    <t>Summen</t>
  </si>
  <si>
    <t>Statusanzeige</t>
  </si>
  <si>
    <t>Zuglänge summiert [cm]</t>
  </si>
  <si>
    <t xml:space="preserve">Abweichung +-5%  erlaubt (lt. Norm keine) </t>
  </si>
  <si>
    <t>Bezeichnung</t>
  </si>
  <si>
    <t>Normal/Biofeuerraum</t>
  </si>
  <si>
    <t>Höhe [cm]</t>
  </si>
  <si>
    <t>Fläche [m²]</t>
  </si>
  <si>
    <t>t [°C]</t>
  </si>
  <si>
    <t>v [m/s]</t>
  </si>
  <si>
    <t>z</t>
  </si>
  <si>
    <t>Wirkungsgrad:</t>
  </si>
  <si>
    <t>%</t>
  </si>
  <si>
    <t>Fangmündungstemperatur:</t>
  </si>
  <si>
    <t>°C</t>
  </si>
  <si>
    <t>Fangmündung-Innenwandtemp.:</t>
  </si>
  <si>
    <t>Luftzufuhrquerschnitt:</t>
  </si>
  <si>
    <t>Brennraumgrundfläche:</t>
  </si>
  <si>
    <t>Brennraumhöhe:</t>
  </si>
  <si>
    <t>m³/s</t>
  </si>
  <si>
    <t>Abgasmassenstrom:</t>
  </si>
  <si>
    <t>kg/s</t>
  </si>
  <si>
    <t>Pa</t>
  </si>
  <si>
    <t>Tats. Druckdifferenz:</t>
  </si>
  <si>
    <t>Maximale Druckdifferenz:</t>
  </si>
  <si>
    <t>Max. Druckdifferenz:</t>
  </si>
  <si>
    <t>Luftvolumenstrom:</t>
  </si>
  <si>
    <t>Leer</t>
  </si>
  <si>
    <t>Schornstein</t>
  </si>
  <si>
    <t>VB-Stück</t>
  </si>
  <si>
    <t>B</t>
  </si>
  <si>
    <t>N</t>
  </si>
  <si>
    <t>Brennraum</t>
  </si>
  <si>
    <t>Länge 
[cm]</t>
  </si>
  <si>
    <t>BRENNRAUM- BIOFEUERRAUM 3</t>
  </si>
  <si>
    <t>Benennung</t>
  </si>
  <si>
    <t>Abmessung</t>
  </si>
  <si>
    <t>Anzahl</t>
  </si>
  <si>
    <t>Breite</t>
  </si>
  <si>
    <t>QB BR klein</t>
  </si>
  <si>
    <t>QB BR groß</t>
  </si>
  <si>
    <t>Für die Höhe</t>
  </si>
  <si>
    <t>Für den Umfang</t>
  </si>
  <si>
    <t>Gesamtanzahl</t>
  </si>
  <si>
    <t>QB 060</t>
  </si>
  <si>
    <t>Anzahl BR Klein gesamt</t>
  </si>
  <si>
    <t>Anzahl BR Groß</t>
  </si>
  <si>
    <t>Nut+Feder Stein  50/600/120</t>
  </si>
  <si>
    <t>Anzahl BR Klein</t>
  </si>
  <si>
    <t>Schamotte Platte 40/420/300</t>
  </si>
  <si>
    <t>Schamotteplatten für Abdeckung :</t>
  </si>
  <si>
    <t>Schamotte Platte 50/250/200</t>
  </si>
  <si>
    <t>Schamotte Platte 50/300/150</t>
  </si>
  <si>
    <t>Schamotte Platte 50/400/400</t>
  </si>
  <si>
    <t>Schamotte Platte 50/600/120</t>
  </si>
  <si>
    <t>Schamotte Platte 50/600/200</t>
  </si>
  <si>
    <t>Schamotte Platte 50/600/400</t>
  </si>
  <si>
    <t>Schamotte Platte 50/600/500</t>
  </si>
  <si>
    <t>Schamotte Platte 50/700/400</t>
  </si>
  <si>
    <t>Quickboard 60/540/297</t>
  </si>
  <si>
    <t>Quickboard 60/660/297</t>
  </si>
  <si>
    <t>Quickboard 60/780/297</t>
  </si>
  <si>
    <t>Bodenplatte :</t>
  </si>
  <si>
    <t>Schamotte Platte 40/250/200</t>
  </si>
  <si>
    <t>Schamotte Platte 40/280/135</t>
  </si>
  <si>
    <t>Schamotte Platte 40/300/150</t>
  </si>
  <si>
    <t>Schamotte Platte 40/300/300</t>
  </si>
  <si>
    <t>Schamotte Platte 40/360/300</t>
  </si>
  <si>
    <t>Schamotte Platte 40/400/200</t>
  </si>
  <si>
    <t>Schamotte Platte 40/400/300</t>
  </si>
  <si>
    <t>Schamotte Platte 40/400/400</t>
  </si>
  <si>
    <t>Schamotte Platte 40/430/200</t>
  </si>
  <si>
    <t>Schamotte Platte 40/430/250</t>
  </si>
  <si>
    <t>Schamotte Platte 40/500/200</t>
  </si>
  <si>
    <t>Schamotte Platte 40/500/250</t>
  </si>
  <si>
    <t>Biofeuerraum 3</t>
  </si>
  <si>
    <t>Quickbrick BR</t>
  </si>
  <si>
    <t>Normalbrennraum</t>
  </si>
  <si>
    <t>Breiten und Tiefen</t>
  </si>
  <si>
    <r>
      <t>Fläche A</t>
    </r>
    <r>
      <rPr>
        <vertAlign val="subscript"/>
        <sz val="10"/>
        <rFont val="Century Gothic"/>
        <family val="2"/>
      </rPr>
      <t>BR</t>
    </r>
    <r>
      <rPr>
        <sz val="10"/>
        <rFont val="Century Gothic"/>
        <family val="2"/>
      </rPr>
      <t>:</t>
    </r>
  </si>
  <si>
    <r>
      <t>Errechnete Brennraumhöhe H</t>
    </r>
    <r>
      <rPr>
        <vertAlign val="subscript"/>
        <sz val="10"/>
        <rFont val="Century Gothic"/>
        <family val="2"/>
      </rPr>
      <t>BR</t>
    </r>
    <r>
      <rPr>
        <sz val="10"/>
        <rFont val="Century Gothic"/>
        <family val="2"/>
      </rPr>
      <t>:</t>
    </r>
  </si>
  <si>
    <r>
      <t>Tatsächliche Brennraumhöhe H</t>
    </r>
    <r>
      <rPr>
        <vertAlign val="subscript"/>
        <sz val="10"/>
        <rFont val="Century Gothic"/>
        <family val="2"/>
      </rPr>
      <t>BRtats</t>
    </r>
    <r>
      <rPr>
        <sz val="10"/>
        <rFont val="Century Gothic"/>
        <family val="2"/>
      </rPr>
      <t>:</t>
    </r>
  </si>
  <si>
    <r>
      <t>Maximale Brennstoffmenge m</t>
    </r>
    <r>
      <rPr>
        <vertAlign val="subscript"/>
        <sz val="10"/>
        <rFont val="Century Gothic"/>
        <family val="2"/>
      </rPr>
      <t>B</t>
    </r>
    <r>
      <rPr>
        <sz val="10"/>
        <rFont val="Century Gothic"/>
        <family val="2"/>
      </rPr>
      <t>:</t>
    </r>
  </si>
  <si>
    <r>
      <t>Minimale Brennstoffmenge m</t>
    </r>
    <r>
      <rPr>
        <vertAlign val="subscript"/>
        <sz val="10"/>
        <rFont val="Century Gothic"/>
        <family val="2"/>
      </rPr>
      <t>Bmin</t>
    </r>
    <r>
      <rPr>
        <sz val="10"/>
        <rFont val="Century Gothic"/>
        <family val="2"/>
      </rPr>
      <t>:</t>
    </r>
  </si>
  <si>
    <r>
      <t>Brennraum-Innenfläche O</t>
    </r>
    <r>
      <rPr>
        <vertAlign val="subscript"/>
        <sz val="10"/>
        <rFont val="Century Gothic"/>
        <family val="2"/>
      </rPr>
      <t>BR</t>
    </r>
    <r>
      <rPr>
        <sz val="10"/>
        <rFont val="Century Gothic"/>
        <family val="2"/>
      </rPr>
      <t>:</t>
    </r>
  </si>
  <si>
    <r>
      <t>Min. Brennraum-Grundfläche A</t>
    </r>
    <r>
      <rPr>
        <vertAlign val="subscript"/>
        <sz val="10"/>
        <rFont val="Century Gothic"/>
        <family val="2"/>
      </rPr>
      <t>BRmin</t>
    </r>
    <r>
      <rPr>
        <sz val="10"/>
        <rFont val="Century Gothic"/>
        <family val="2"/>
      </rPr>
      <t>:</t>
    </r>
  </si>
  <si>
    <r>
      <t>Max. Brennraum-Grundfläche A</t>
    </r>
    <r>
      <rPr>
        <vertAlign val="subscript"/>
        <sz val="10"/>
        <rFont val="Century Gothic"/>
        <family val="2"/>
      </rPr>
      <t>BRmax</t>
    </r>
    <r>
      <rPr>
        <sz val="10"/>
        <rFont val="Century Gothic"/>
        <family val="2"/>
      </rPr>
      <t>:</t>
    </r>
  </si>
  <si>
    <r>
      <t>Min. Brennraum-Höhe H</t>
    </r>
    <r>
      <rPr>
        <vertAlign val="subscript"/>
        <sz val="10"/>
        <rFont val="Century Gothic"/>
        <family val="2"/>
      </rPr>
      <t>BR</t>
    </r>
    <r>
      <rPr>
        <sz val="10"/>
        <rFont val="Century Gothic"/>
        <family val="2"/>
      </rPr>
      <t>:</t>
    </r>
  </si>
  <si>
    <r>
      <t>Nennwärmeleistung P</t>
    </r>
    <r>
      <rPr>
        <b/>
        <vertAlign val="subscript"/>
        <sz val="10"/>
        <rFont val="Century Gothic"/>
        <family val="2"/>
      </rPr>
      <t>n</t>
    </r>
    <r>
      <rPr>
        <b/>
        <sz val="10"/>
        <rFont val="Century Gothic"/>
        <family val="2"/>
      </rPr>
      <t>:</t>
    </r>
  </si>
  <si>
    <r>
      <t>Nennheizzeit t</t>
    </r>
    <r>
      <rPr>
        <b/>
        <vertAlign val="subscript"/>
        <sz val="10"/>
        <rFont val="Century Gothic"/>
        <family val="2"/>
      </rPr>
      <t>n</t>
    </r>
    <r>
      <rPr>
        <b/>
        <sz val="10"/>
        <rFont val="Century Gothic"/>
        <family val="2"/>
      </rPr>
      <t>:</t>
    </r>
  </si>
  <si>
    <r>
      <t>Max. Brennstoffmenge m</t>
    </r>
    <r>
      <rPr>
        <b/>
        <vertAlign val="subscript"/>
        <sz val="10"/>
        <rFont val="Century Gothic"/>
        <family val="2"/>
      </rPr>
      <t>B</t>
    </r>
    <r>
      <rPr>
        <b/>
        <sz val="10"/>
        <rFont val="Century Gothic"/>
        <family val="2"/>
      </rPr>
      <t>:</t>
    </r>
  </si>
  <si>
    <r>
      <t>Gasschlitzquerschnitt A</t>
    </r>
    <r>
      <rPr>
        <b/>
        <vertAlign val="subscript"/>
        <sz val="10"/>
        <rFont val="Century Gothic"/>
        <family val="2"/>
      </rPr>
      <t>GS</t>
    </r>
    <r>
      <rPr>
        <b/>
        <sz val="10"/>
        <rFont val="Century Gothic"/>
        <family val="2"/>
      </rPr>
      <t>:</t>
    </r>
  </si>
  <si>
    <r>
      <t>Min. Brennstoffmenge m</t>
    </r>
    <r>
      <rPr>
        <b/>
        <vertAlign val="subscript"/>
        <sz val="10"/>
        <rFont val="Century Gothic"/>
        <family val="2"/>
      </rPr>
      <t>Bmin</t>
    </r>
    <r>
      <rPr>
        <b/>
        <sz val="10"/>
        <rFont val="Century Gothic"/>
        <family val="2"/>
      </rPr>
      <t>:</t>
    </r>
  </si>
  <si>
    <r>
      <t>Opt. Brennstoffums. m</t>
    </r>
    <r>
      <rPr>
        <b/>
        <vertAlign val="subscript"/>
        <sz val="10"/>
        <rFont val="Century Gothic"/>
        <family val="2"/>
      </rPr>
      <t>BUopt</t>
    </r>
    <r>
      <rPr>
        <b/>
        <sz val="10"/>
        <rFont val="Century Gothic"/>
        <family val="2"/>
      </rPr>
      <t>:</t>
    </r>
  </si>
  <si>
    <r>
      <t>Mindestzuglänge L</t>
    </r>
    <r>
      <rPr>
        <b/>
        <vertAlign val="subscript"/>
        <sz val="10"/>
        <rFont val="Century Gothic"/>
        <family val="2"/>
      </rPr>
      <t>Zmin</t>
    </r>
    <r>
      <rPr>
        <b/>
        <sz val="10"/>
        <rFont val="Century Gothic"/>
        <family val="2"/>
      </rPr>
      <t>:</t>
    </r>
  </si>
  <si>
    <r>
      <t>Wärmedurchlasswiderstand (1/L)</t>
    </r>
    <r>
      <rPr>
        <vertAlign val="subscript"/>
        <sz val="10"/>
        <rFont val="Century Gothic"/>
        <family val="2"/>
      </rPr>
      <t>b</t>
    </r>
  </si>
  <si>
    <t>(lfrau/ lfrau)^0,67</t>
  </si>
  <si>
    <r>
      <t>k</t>
    </r>
    <r>
      <rPr>
        <vertAlign val="subscript"/>
        <sz val="10"/>
        <rFont val="Century Gothic"/>
        <family val="2"/>
      </rPr>
      <t>f</t>
    </r>
    <r>
      <rPr>
        <sz val="10"/>
        <rFont val="Century Gothic"/>
        <family val="2"/>
      </rPr>
      <t xml:space="preserve"> </t>
    </r>
  </si>
  <si>
    <r>
      <t>Seehöhenkorrekturfaktor f</t>
    </r>
    <r>
      <rPr>
        <vertAlign val="subscript"/>
        <sz val="10"/>
        <rFont val="Century Gothic"/>
        <family val="2"/>
      </rPr>
      <t>s</t>
    </r>
    <r>
      <rPr>
        <sz val="10"/>
        <rFont val="Century Gothic"/>
        <family val="2"/>
      </rPr>
      <t>:</t>
    </r>
  </si>
  <si>
    <r>
      <t>Temperatur-Korrekturfaktor VBL Volstrom f</t>
    </r>
    <r>
      <rPr>
        <vertAlign val="subscript"/>
        <sz val="10"/>
        <rFont val="Century Gothic"/>
        <family val="2"/>
      </rPr>
      <t>t</t>
    </r>
  </si>
  <si>
    <r>
      <t>Abgasvolumenstrom V</t>
    </r>
    <r>
      <rPr>
        <vertAlign val="subscript"/>
        <sz val="10"/>
        <rFont val="Century Gothic"/>
        <family val="2"/>
      </rPr>
      <t>G</t>
    </r>
  </si>
  <si>
    <r>
      <t>Abgasdichte r</t>
    </r>
    <r>
      <rPr>
        <vertAlign val="subscript"/>
        <sz val="10"/>
        <rFont val="Century Gothic"/>
        <family val="2"/>
      </rPr>
      <t>G</t>
    </r>
  </si>
  <si>
    <t>Wärmeleitkoeff. Verbr.gas la</t>
  </si>
  <si>
    <t xml:space="preserve">Kin. Viskosität n </t>
  </si>
  <si>
    <t>ai</t>
  </si>
  <si>
    <r>
      <t>f</t>
    </r>
    <r>
      <rPr>
        <vertAlign val="subscript"/>
        <sz val="10"/>
        <rFont val="Century Gothic"/>
        <family val="2"/>
      </rPr>
      <t>s</t>
    </r>
  </si>
  <si>
    <t>z - Wert</t>
  </si>
  <si>
    <r>
      <t>D</t>
    </r>
    <r>
      <rPr>
        <vertAlign val="subscript"/>
        <sz val="10"/>
        <rFont val="Century Gothic"/>
        <family val="2"/>
      </rPr>
      <t>h,i</t>
    </r>
    <r>
      <rPr>
        <sz val="10"/>
        <rFont val="Century Gothic"/>
        <family val="2"/>
      </rPr>
      <t xml:space="preserve"> [m]</t>
    </r>
  </si>
  <si>
    <r>
      <t>k</t>
    </r>
    <r>
      <rPr>
        <vertAlign val="subscript"/>
        <sz val="10"/>
        <rFont val="Century Gothic"/>
        <family val="2"/>
      </rPr>
      <t>f</t>
    </r>
    <r>
      <rPr>
        <sz val="10"/>
        <rFont val="Century Gothic"/>
        <family val="2"/>
      </rPr>
      <t xml:space="preserve"> [m]</t>
    </r>
  </si>
  <si>
    <r>
      <t>D</t>
    </r>
    <r>
      <rPr>
        <vertAlign val="subscript"/>
        <sz val="10"/>
        <rFont val="Century Gothic"/>
        <family val="2"/>
      </rPr>
      <t>h,a</t>
    </r>
    <r>
      <rPr>
        <sz val="10"/>
        <rFont val="Century Gothic"/>
        <family val="2"/>
      </rPr>
      <t xml:space="preserve"> [m]</t>
    </r>
  </si>
  <si>
    <t>Wärmeleitzahl la des Verbrennungsgases bei mittlerer Temperatur Tm:</t>
  </si>
  <si>
    <t>la [W/mK]</t>
  </si>
  <si>
    <t>Kinematische Viskosität n des Verbrennungsgases bei mittlerer Temperatur Tm:</t>
  </si>
  <si>
    <t>n [m²/s]</t>
  </si>
  <si>
    <t>ae</t>
  </si>
  <si>
    <t>Spez. Wärmekapazität cp des Verbrennungsgases bei mittlerer Temperatur Tm:</t>
  </si>
  <si>
    <t>Biofeuerraum Tabelle:</t>
  </si>
  <si>
    <t>Brennraum - gesammelte Infos:</t>
  </si>
  <si>
    <t>Materialliste</t>
  </si>
  <si>
    <t>90/176/117</t>
  </si>
  <si>
    <t>90/356/237</t>
  </si>
  <si>
    <t>60/296/57</t>
  </si>
  <si>
    <t>30/600/900</t>
  </si>
  <si>
    <t>50/250/200</t>
  </si>
  <si>
    <t>50/300/150</t>
  </si>
  <si>
    <t>50/400/400</t>
  </si>
  <si>
    <t>50/600/120</t>
  </si>
  <si>
    <t>50/600/200</t>
  </si>
  <si>
    <t>50/600/400</t>
  </si>
  <si>
    <t>50/600/500</t>
  </si>
  <si>
    <t>50/700/400</t>
  </si>
  <si>
    <t>60/540/297</t>
  </si>
  <si>
    <t>60/660/297</t>
  </si>
  <si>
    <t>60/780/297</t>
  </si>
  <si>
    <t>Tiefe</t>
  </si>
  <si>
    <t>Bodenplatte unten</t>
  </si>
  <si>
    <t>Bodenplatte oben</t>
  </si>
  <si>
    <t xml:space="preserve">Anzahl Bodenplatten unten </t>
  </si>
  <si>
    <t>Anzahl Abdeckplatten</t>
  </si>
  <si>
    <t>Anzahl Bodenplatten oben</t>
  </si>
  <si>
    <t>Keramikfaserplatte KVS 121</t>
  </si>
  <si>
    <r>
      <t>Tatsächliche Brennraumhöhe H</t>
    </r>
    <r>
      <rPr>
        <b/>
        <vertAlign val="subscript"/>
        <sz val="10"/>
        <rFont val="Century Gothic"/>
        <family val="2"/>
      </rPr>
      <t>BRtats</t>
    </r>
    <r>
      <rPr>
        <b/>
        <sz val="10"/>
        <rFont val="Century Gothic"/>
        <family val="2"/>
      </rPr>
      <t>:</t>
    </r>
  </si>
  <si>
    <r>
      <t>Temperatur-Korrekturfaktor VBL Volstrom f</t>
    </r>
    <r>
      <rPr>
        <vertAlign val="subscript"/>
        <sz val="10"/>
        <rFont val="Century Gothic"/>
        <family val="2"/>
      </rPr>
      <t>t</t>
    </r>
    <r>
      <rPr>
        <sz val="10"/>
        <rFont val="Century Gothic"/>
        <family val="2"/>
      </rPr>
      <t>:</t>
    </r>
  </si>
  <si>
    <r>
      <t>Hydraulischer Durchmesser D</t>
    </r>
    <r>
      <rPr>
        <vertAlign val="subscript"/>
        <sz val="10"/>
        <rFont val="Century Gothic"/>
        <family val="2"/>
      </rPr>
      <t>h [m]</t>
    </r>
  </si>
  <si>
    <t>Wandstein Bio 3</t>
  </si>
  <si>
    <t>Eckstein Bio 3</t>
  </si>
  <si>
    <t>Sockelstein Bio 3</t>
  </si>
  <si>
    <t>Zargenstein Bio 3</t>
  </si>
  <si>
    <t>Überlagerstein Bio 3</t>
  </si>
  <si>
    <t>Schamotte Platte</t>
  </si>
  <si>
    <t>40/400/200</t>
  </si>
  <si>
    <t>Quickbrick BR klein</t>
  </si>
  <si>
    <t>Quickbrick</t>
  </si>
  <si>
    <t>60/57/296</t>
  </si>
  <si>
    <t>System DUO</t>
  </si>
  <si>
    <t>Keramikfaserplatte</t>
  </si>
  <si>
    <t>Anzahl Tiefe</t>
  </si>
  <si>
    <t>Anzahl Breite</t>
  </si>
  <si>
    <t>Anzahl Br.</t>
  </si>
  <si>
    <t>40/250/200</t>
  </si>
  <si>
    <t>40/280/135</t>
  </si>
  <si>
    <t>40/300/150</t>
  </si>
  <si>
    <t>40/300/300</t>
  </si>
  <si>
    <t>40/360/300</t>
  </si>
  <si>
    <t>40/400/300</t>
  </si>
  <si>
    <t>40/400/400</t>
  </si>
  <si>
    <t>40/420/300</t>
  </si>
  <si>
    <t>40/430/200</t>
  </si>
  <si>
    <t>40/430/250</t>
  </si>
  <si>
    <t>40/500/200</t>
  </si>
  <si>
    <t>40/500/250</t>
  </si>
  <si>
    <t>Anzahl T.</t>
  </si>
  <si>
    <t>Tiefe  T</t>
  </si>
  <si>
    <t>Breite B</t>
  </si>
  <si>
    <t>Wandstein</t>
  </si>
  <si>
    <t>halber Wandstein</t>
  </si>
  <si>
    <t>Eckstein</t>
  </si>
  <si>
    <t>Sockelstein</t>
  </si>
  <si>
    <t>halber Sockelstein</t>
  </si>
  <si>
    <t>Nut und Federstein</t>
  </si>
  <si>
    <t>30/430/250</t>
  </si>
  <si>
    <t>Keramikfaserplatte ( System Duo )</t>
  </si>
  <si>
    <t>JA</t>
  </si>
  <si>
    <t>Trägerstein  55/300/115</t>
  </si>
  <si>
    <t>55/300/115</t>
  </si>
  <si>
    <t>30/250/200</t>
  </si>
  <si>
    <t>30/300/150</t>
  </si>
  <si>
    <t>30/340/200</t>
  </si>
  <si>
    <t>30/370/200</t>
  </si>
  <si>
    <t>30/400/200</t>
  </si>
  <si>
    <t>30/400/300</t>
  </si>
  <si>
    <t>30/430/200</t>
  </si>
  <si>
    <t>30/500/200</t>
  </si>
  <si>
    <t>30/500/250</t>
  </si>
  <si>
    <t>30/600/300</t>
  </si>
  <si>
    <t>30/270/140</t>
  </si>
  <si>
    <t>30/400/400</t>
  </si>
  <si>
    <t>Abmessungen</t>
  </si>
  <si>
    <t>NEIN</t>
  </si>
  <si>
    <t>55/300/150</t>
  </si>
  <si>
    <t>System Duo Trägerstein verwenden?</t>
  </si>
  <si>
    <t>Höhe für Seitenwände</t>
  </si>
  <si>
    <t>Höhe für Vorderwand</t>
  </si>
  <si>
    <t>BRENNRAUM- BIOFEUERRAUM 2</t>
  </si>
  <si>
    <r>
      <t xml:space="preserve">Dichte </t>
    </r>
    <r>
      <rPr>
        <sz val="10"/>
        <rFont val="Symbol"/>
        <family val="1"/>
        <charset val="2"/>
      </rPr>
      <t>r</t>
    </r>
    <r>
      <rPr>
        <vertAlign val="subscript"/>
        <sz val="10"/>
        <rFont val="Century Gothic"/>
        <family val="2"/>
      </rPr>
      <t xml:space="preserve">L </t>
    </r>
    <r>
      <rPr>
        <sz val="10"/>
        <rFont val="Century Gothic"/>
        <family val="2"/>
      </rPr>
      <t>;</t>
    </r>
    <r>
      <rPr>
        <vertAlign val="subscript"/>
        <sz val="10"/>
        <rFont val="Century Gothic"/>
        <family val="2"/>
      </rPr>
      <t xml:space="preserve"> </t>
    </r>
    <r>
      <rPr>
        <sz val="10"/>
        <rFont val="Symbol"/>
        <family val="1"/>
        <charset val="2"/>
      </rPr>
      <t>r</t>
    </r>
    <r>
      <rPr>
        <vertAlign val="subscript"/>
        <sz val="10"/>
        <rFont val="Century Gothic"/>
        <family val="2"/>
      </rPr>
      <t>G [kg/m³]</t>
    </r>
  </si>
  <si>
    <r>
      <t xml:space="preserve">Widerstandskoeffizient </t>
    </r>
    <r>
      <rPr>
        <sz val="10"/>
        <rFont val="Symbol"/>
        <family val="1"/>
        <charset val="2"/>
      </rPr>
      <t>z</t>
    </r>
    <r>
      <rPr>
        <sz val="10"/>
        <rFont val="Century Gothic"/>
        <family val="2"/>
      </rPr>
      <t>1</t>
    </r>
  </si>
  <si>
    <r>
      <t>z</t>
    </r>
    <r>
      <rPr>
        <sz val="10"/>
        <rFont val="Century Gothic"/>
        <family val="2"/>
      </rPr>
      <t xml:space="preserve"> - Wert</t>
    </r>
  </si>
  <si>
    <t>Links</t>
  </si>
  <si>
    <t>Rechts</t>
  </si>
  <si>
    <t>Vorne</t>
  </si>
  <si>
    <t>Oben</t>
  </si>
  <si>
    <t>Unten</t>
  </si>
  <si>
    <t>R-O</t>
  </si>
  <si>
    <t>L-O</t>
  </si>
  <si>
    <t>L-U</t>
  </si>
  <si>
    <t>L-H</t>
  </si>
  <si>
    <t>L-V</t>
  </si>
  <si>
    <t>R-H</t>
  </si>
  <si>
    <t>R-V</t>
  </si>
  <si>
    <t>H-O</t>
  </si>
  <si>
    <t>H-U</t>
  </si>
  <si>
    <t>H-R</t>
  </si>
  <si>
    <t>H-L</t>
  </si>
  <si>
    <t>V-O</t>
  </si>
  <si>
    <t>V-U</t>
  </si>
  <si>
    <t>V-L</t>
  </si>
  <si>
    <t>V-R</t>
  </si>
  <si>
    <t>Richtung</t>
  </si>
  <si>
    <t>Wenn die Richtung nicht möglich ist !!</t>
  </si>
  <si>
    <t>Abdeckplatte</t>
  </si>
  <si>
    <t>System Duo Abdeckung</t>
  </si>
  <si>
    <t>Bodenplatten</t>
  </si>
  <si>
    <t>R-U</t>
  </si>
  <si>
    <t>Kurzheizzug 
beurteilung</t>
  </si>
  <si>
    <t>O.K.</t>
  </si>
  <si>
    <t>[Nennwärmeleistungen von 2,7 - 12 kW]</t>
  </si>
  <si>
    <t>für Ihren Kachelofen mit</t>
  </si>
  <si>
    <t>Aug. Rath jun. GmbH, 3375 Krummnußbaum</t>
  </si>
  <si>
    <t>Voraussetzung zur Einhaltung der Emissionsgrenzwerte ist die richtige Bedienung.</t>
  </si>
  <si>
    <t>Bitte lesen Sie daher diese Bedienungsanleitung genau durch und befolgen Sie die nachstehenden Hinweise.</t>
  </si>
  <si>
    <t>1. Brennstoff</t>
  </si>
  <si>
    <t>Ihr Kachelofen kann mit Scheitholz und Preßlingen betrieben werden.</t>
  </si>
  <si>
    <t>1.1 Scheitholz</t>
  </si>
  <si>
    <t>Nur naturbelassenes luftgetrocknetes Holz bis 20 Gewichtsprozent Wassergehalt ist ein geeignetes Brennholz für Ihren Biokamin. Den richtigen Trocknungsgrad erreicht man bei gedeckter luftiger Lagerung im Freien nach 2 Jahren. Verwenden Sie vor allem Scheitholz der Sorte Buche, Rotbuche, Ahorn, Eiche, Birke, Akazie, Fichte, Tanne, Föhre und Lärche mit einer Länge von 33 cm und einem Durchmesser bis zu 10 cm – Rundlinge spalten!</t>
  </si>
  <si>
    <t>1.2 Holzbriketts</t>
  </si>
  <si>
    <t>Es sind Preßlinge aus forstlicher Biomasse (Holzbriketts, Holzpellets) nach ÖNORM 7135 zu verwenden (Volumsänderung beachten). Verwenden Sie jedoch niemals Holzbriketts mit Zusätzen wie zum Beispiel Paraffin.</t>
  </si>
  <si>
    <t>2. Leistung</t>
  </si>
  <si>
    <t>Ihr Hafner hat für Sie die richtige Ofengröße und Heizleistung ermittelt.</t>
  </si>
  <si>
    <t>Die Nennwärmeleistung von   kW kann im Bedarfsfall vermindert werden.</t>
  </si>
  <si>
    <t>Die Minimalmenge an Brennstoff von   kg darf nicht unterschritten, ebenso die Volllastmenge nicht überschritten werden, da sonst die Funktion Ihres Kachelofens nicht mehr gewährleistet ist.</t>
  </si>
  <si>
    <t>3. Inbetriebnahme (Trockenheizung)</t>
  </si>
  <si>
    <t>Diese erreichen Sie, wenn Sie jeweils eine Brennstoffmenge von   kg (bei Holzbriketts 15% weniger!) in Intervallen von   Stunden nachlegen (Vollast).</t>
  </si>
  <si>
    <t>Beim Trockenheizen ist eine Temperatur des Ofens zu erreichen, die höher ist als jene im gewöhnlichen Betrieb.</t>
  </si>
  <si>
    <t>4. Heizen</t>
  </si>
  <si>
    <t xml:space="preserve">Beim Setzen Ihres Ofens hat der Hafner bei den Bindemassen auch Wasser verwendet. 
Dieses muß durch Trockenheizen ausgetrieben werden und sollte nur unter Anleitung eines Fachmannes durchgeführt werden. Begonnen wird bei geöffnetem Fenster und nicht verschlossener Putzöffnung in der Hülle mit einer Holzmenge von 2-3 kg. Nach dem Abbrand ist fortzuheizen und dabei die Holzmenge in 2 kg Schritten zu erhöhen bis zum Erreichen der maximalen Brennstoffmenge. Über die gesamte Trockenheizzeit ist die Verbrennungslufttür bis zum Abkühlen des Ofens offen zu halten. </t>
  </si>
  <si>
    <t>4.1 Anheizen</t>
  </si>
  <si>
    <t>Um bei unterschiedlicher Brennstoffmenge einen etwa gleich hohen Brennstoffstoß zu erzielen, müssen Sie beim Verheizen von wenig Brennstoff die Scheiter locker schlichten, bei viel Brennstoff entsprechend dicht. Zum Anzünden verwenden Sie entweder etwas Papier und Spanholz oder handelsübliche Anzündhilfen. Zünden Sie locker geschlichteten Brennstoff von unten, dicht geschlichteten Brennstoff im oberen Drittel an.</t>
  </si>
  <si>
    <t>4.2 Absperren</t>
  </si>
  <si>
    <t xml:space="preserve">Je nach Holzmenge ist der Verbrennungsvorgang in einer halben bis eineinhalb Stunden abgeschlossen sein. Sie erkennen dies daran, wenn über der Glut nur mehr kurze blaue Flämmchen auftreten. </t>
  </si>
  <si>
    <t>4.3 Nachlegen</t>
  </si>
  <si>
    <t>Öffnen Sie die Heiztüre Ihres Kachelofens erst wieder nach   Stunden.</t>
  </si>
  <si>
    <t>Öffnen Sie die Luftführungstüre Ihres Kachelofens erst wieder nach    Stunden.</t>
  </si>
  <si>
    <t>Beginnen Sie erneut, wie oben beschrieben, anzuheizen.</t>
  </si>
  <si>
    <t>4.4 Entaschung</t>
  </si>
  <si>
    <t>Scheitholz und Holzbriketts erzeugen nur eine geringe Menge an Verbrennungsrückständen. Ein Entfernen dieser Asche wird daher je nach Intensität der Benützung einige Male pro Heizperiode erforderlich sein. Eine Entaschung ist jedenfalls unbedingt durchzuführen, wenn die Aschenhöhe 5 cm überschreitet.</t>
  </si>
  <si>
    <t>5. Zur besonderen Beachtung</t>
  </si>
  <si>
    <t>Beachten Sie bitte noch folgende Hinweise :</t>
  </si>
  <si>
    <t>* Keine brennbaren Gegenstände am oder gar im Ofen aufbewahren.</t>
  </si>
  <si>
    <t>* Brennbare Gegenstände müssen einen ausreichenden Sicherheitsabstand zum 
  Ofen aufweisen.</t>
  </si>
  <si>
    <t>* Metallteile können heiß werden und dürfen daher nicht berührt werden.</t>
  </si>
  <si>
    <t>* Keine Abfälle verheizen.</t>
  </si>
  <si>
    <t>* Absperren, wenn das Holz komplett abgebrannt ist und wenn nur mehr kleine 
  blaue Flämmchen vorhanden sind.</t>
  </si>
  <si>
    <t>* Der Betrieb von mechanischen Lüftern darf die Verbrennungsluftzufuhr nicht
  beeinträchtigen.</t>
  </si>
  <si>
    <t>* Grundsätzlich ist ein Kachelofen im Betrieb eine Unterdruckanlage. 
  Eine Dichtheitsprobe mit Überdruck darf nicht durchgeführt werden. Eine 
  Dichtheitsprobe gemäß ÖNorm B8201 ist nur für das Verbindungsstück und 
  den Fang anzuwenden.</t>
  </si>
  <si>
    <t>Wie jedes technische Gerät ist auch Ihr Kachelofen vom Fachmann zeitweise auf seine Funktionstüchtigkeit zu überprüfen. Auch wenn Sie den Ofen nur selten benützen, empfiehltes sich, zumindest fallweise eine Begutachtung zu veranlassen.</t>
  </si>
  <si>
    <t>Die Nichteinhaltung dieser Bedienungsanleitung kann sowohl zu Sach- als auch zu Personenschäden führen. Diese Bedienungsanleitung wurde Ihnen nach einer genauen Erläuterung durch Ihren Hafnermeister übergeben und sollte immer griffbereit in der Nähe Ihres Kachelofens aufbewahrt werden.</t>
  </si>
  <si>
    <t>Bei weiteren Fragen richten Sie sich an Ihren Hafnermeisterbetrieb.</t>
  </si>
  <si>
    <t>6. Allgemeines</t>
  </si>
  <si>
    <t>Ihr Kachelofen wurde von einem Hafnermeisterbetrieb errichtet und entspricht den einschlägigen Normen und Richtlinien bzw. den anerkannten Regeln der Technik.
Er muß in regelmäsigen Abständen gewartet werden - ein Wartungsvertrag ist zu empfehlen.</t>
  </si>
  <si>
    <t>Die fachgerechte Aufstellung
bestätigt Ihnen :</t>
  </si>
  <si>
    <t>Die Anlage wurde in Ordnung
übernommen :</t>
  </si>
  <si>
    <t>......................................................</t>
  </si>
  <si>
    <t>Unterschrift des Hafnermeisters</t>
  </si>
  <si>
    <t>Unterschrift des Kunden</t>
  </si>
  <si>
    <t xml:space="preserve">                        Ort</t>
  </si>
  <si>
    <t>Datum :</t>
  </si>
  <si>
    <t>[Nennheizzeit von 8 - 24 Stunden]</t>
  </si>
  <si>
    <r>
      <t>Wichtig:</t>
    </r>
    <r>
      <rPr>
        <sz val="10"/>
        <rFont val="Century Gothic"/>
        <family val="2"/>
      </rPr>
      <t xml:space="preserve"> Das Verbrennen von Abfällen, Kunststoff, Ölen und altem – zum Beispiel geklebten oder imprägniertem – Holz führt zu Schäden an Ihrem Kachelofen. Außerdem können bei der Verbrennung solcher Stoffe giftige Substanzen entstehen, die Sie selbst und Ihre Mitwelt gefährden.</t>
    </r>
  </si>
  <si>
    <t>Bauweise ohne Luftspalt</t>
  </si>
  <si>
    <t>Bauweise mit Luftspalt</t>
  </si>
  <si>
    <t>HEIZ-ANLEITUNG</t>
  </si>
  <si>
    <t>45/300/150</t>
  </si>
  <si>
    <t>Umlenk-winkel [°]</t>
  </si>
  <si>
    <t>Dreischalig Keramisch D 30 cm</t>
  </si>
  <si>
    <t>Dreischalig Keramisch D 28 cm</t>
  </si>
  <si>
    <t>λ [W/mK]</t>
  </si>
  <si>
    <r>
      <t>(1/Λ)</t>
    </r>
    <r>
      <rPr>
        <vertAlign val="subscript"/>
        <sz val="10"/>
        <rFont val="Century Gothic"/>
        <family val="2"/>
      </rPr>
      <t>b</t>
    </r>
    <r>
      <rPr>
        <sz val="10"/>
        <rFont val="Century Gothic"/>
        <family val="2"/>
      </rPr>
      <t xml:space="preserve"> [m²K/W]</t>
    </r>
  </si>
  <si>
    <t>λn [W/mK]</t>
  </si>
  <si>
    <t>λ (f rau/glatt) ^0,67 Faktor:</t>
  </si>
  <si>
    <t>Gemauert 50x50 cm</t>
  </si>
  <si>
    <t>Gemauert 25x25 cm</t>
  </si>
  <si>
    <t>Gemauert 25x36 cm</t>
  </si>
  <si>
    <t>Gemauert 36x36 cm</t>
  </si>
  <si>
    <t>Gemauert 50x36 cm</t>
  </si>
  <si>
    <t>Metallverbindungsstück D13 cm</t>
  </si>
  <si>
    <t>Metallverbindungsstück D15 cm</t>
  </si>
  <si>
    <t>Schamottepoterie 25x25 cm</t>
  </si>
  <si>
    <t>Metallverbindungsstück D18 cm</t>
  </si>
  <si>
    <t>Metallverbindungsstück D 20 cm</t>
  </si>
  <si>
    <t>Metallverbindungsstück D 25 cm</t>
  </si>
  <si>
    <t>(λf rauh/ λf glatt)^0,67</t>
  </si>
  <si>
    <r>
      <t>Wärmedurchlasswiderstand (1/λ)</t>
    </r>
    <r>
      <rPr>
        <vertAlign val="subscript"/>
        <sz val="10"/>
        <rFont val="Century Gothic"/>
        <family val="2"/>
      </rPr>
      <t>b</t>
    </r>
  </si>
  <si>
    <r>
      <t>Korrekturfaktor S</t>
    </r>
    <r>
      <rPr>
        <b/>
        <sz val="8"/>
        <rFont val="Century Gothic"/>
        <family val="2"/>
      </rPr>
      <t>H</t>
    </r>
    <r>
      <rPr>
        <b/>
        <sz val="10"/>
        <rFont val="Century Gothic"/>
        <family val="2"/>
      </rPr>
      <t xml:space="preserve"> für fehlende Temperaturbeharrung:</t>
    </r>
  </si>
  <si>
    <r>
      <t>S</t>
    </r>
    <r>
      <rPr>
        <sz val="8"/>
        <rFont val="Century Gothic"/>
        <family val="2"/>
      </rPr>
      <t>H</t>
    </r>
  </si>
  <si>
    <t>Art des Schornsteines (1-27)</t>
  </si>
  <si>
    <t>Art des Verbindungsstückes (1-10)</t>
  </si>
  <si>
    <r>
      <t xml:space="preserve">Verbrennungsl.
Volumenstrom 
</t>
    </r>
    <r>
      <rPr>
        <sz val="10"/>
        <rFont val="Symbol"/>
        <family val="1"/>
        <charset val="2"/>
      </rPr>
      <t>V</t>
    </r>
    <r>
      <rPr>
        <vertAlign val="subscript"/>
        <sz val="10"/>
        <rFont val="Century Gothic"/>
        <family val="2"/>
      </rPr>
      <t>L</t>
    </r>
    <r>
      <rPr>
        <sz val="10"/>
        <rFont val="Century Gothic"/>
        <family val="2"/>
      </rPr>
      <t>;</t>
    </r>
    <r>
      <rPr>
        <sz val="10"/>
        <rFont val="Symbol"/>
        <family val="1"/>
        <charset val="2"/>
      </rPr>
      <t>V</t>
    </r>
    <r>
      <rPr>
        <vertAlign val="subscript"/>
        <sz val="10"/>
        <rFont val="Century Gothic"/>
        <family val="2"/>
      </rPr>
      <t xml:space="preserve">G </t>
    </r>
    <r>
      <rPr>
        <sz val="10"/>
        <rFont val="Century Gothic"/>
        <family val="2"/>
      </rPr>
      <t>[m³/s]</t>
    </r>
  </si>
  <si>
    <r>
      <t xml:space="preserve">Widerstandskoeffizient </t>
    </r>
    <r>
      <rPr>
        <sz val="10"/>
        <rFont val="Symbol"/>
        <family val="1"/>
        <charset val="2"/>
      </rPr>
      <t>z2</t>
    </r>
  </si>
  <si>
    <t>Hinten</t>
  </si>
  <si>
    <t>Version 2.2</t>
  </si>
  <si>
    <t>A2:A1</t>
  </si>
  <si>
    <r>
      <t xml:space="preserve">z
</t>
    </r>
    <r>
      <rPr>
        <b/>
        <sz val="10"/>
        <rFont val="Century Gothic"/>
        <family val="2"/>
      </rPr>
      <t>klein auf groß</t>
    </r>
  </si>
  <si>
    <r>
      <t xml:space="preserve">z
</t>
    </r>
    <r>
      <rPr>
        <b/>
        <sz val="10"/>
        <rFont val="Century Gothic"/>
        <family val="2"/>
      </rPr>
      <t>groß auf klein</t>
    </r>
  </si>
  <si>
    <r>
      <t>p</t>
    </r>
    <r>
      <rPr>
        <b/>
        <vertAlign val="subscript"/>
        <sz val="12"/>
        <rFont val="Century Gothic"/>
        <family val="2"/>
      </rPr>
      <t>d</t>
    </r>
    <r>
      <rPr>
        <b/>
        <vertAlign val="subscript"/>
        <sz val="10"/>
        <rFont val="Century Gothic"/>
        <family val="2"/>
      </rPr>
      <t xml:space="preserve">
</t>
    </r>
    <r>
      <rPr>
        <b/>
        <sz val="10"/>
        <rFont val="Century Gothic"/>
        <family val="2"/>
      </rPr>
      <t>[Pa]</t>
    </r>
  </si>
  <si>
    <r>
      <t>l</t>
    </r>
    <r>
      <rPr>
        <b/>
        <vertAlign val="subscript"/>
        <sz val="12"/>
        <rFont val="Century Gothic"/>
        <family val="2"/>
      </rPr>
      <t>f</t>
    </r>
  </si>
  <si>
    <r>
      <t>p</t>
    </r>
    <r>
      <rPr>
        <b/>
        <vertAlign val="subscript"/>
        <sz val="12"/>
        <rFont val="Century Gothic"/>
        <family val="2"/>
      </rPr>
      <t>r</t>
    </r>
    <r>
      <rPr>
        <b/>
        <vertAlign val="subscript"/>
        <sz val="10"/>
        <rFont val="Century Gothic"/>
        <family val="2"/>
      </rPr>
      <t xml:space="preserve">
</t>
    </r>
    <r>
      <rPr>
        <b/>
        <sz val="10"/>
        <rFont val="Century Gothic"/>
        <family val="2"/>
      </rPr>
      <t>[Pa]</t>
    </r>
  </si>
  <si>
    <r>
      <t>p</t>
    </r>
    <r>
      <rPr>
        <b/>
        <vertAlign val="subscript"/>
        <sz val="12"/>
        <rFont val="Century Gothic"/>
        <family val="2"/>
      </rPr>
      <t>u</t>
    </r>
    <r>
      <rPr>
        <b/>
        <sz val="12"/>
        <rFont val="Century Gothic"/>
        <family val="2"/>
      </rPr>
      <t xml:space="preserve">  </t>
    </r>
    <r>
      <rPr>
        <b/>
        <sz val="10"/>
        <rFont val="Century Gothic"/>
        <family val="2"/>
      </rPr>
      <t xml:space="preserve">
[Pa]</t>
    </r>
  </si>
  <si>
    <r>
      <t>p</t>
    </r>
    <r>
      <rPr>
        <b/>
        <vertAlign val="subscript"/>
        <sz val="12"/>
        <rFont val="Century Gothic"/>
        <family val="2"/>
      </rPr>
      <t>h</t>
    </r>
    <r>
      <rPr>
        <b/>
        <vertAlign val="subscript"/>
        <sz val="10"/>
        <rFont val="Century Gothic"/>
        <family val="2"/>
      </rPr>
      <t xml:space="preserve">
</t>
    </r>
    <r>
      <rPr>
        <b/>
        <sz val="10"/>
        <rFont val="Century Gothic"/>
        <family val="2"/>
      </rPr>
      <t>[Pa]</t>
    </r>
  </si>
  <si>
    <t>Widerstandskoeffizient bei Querschnittsverringerung</t>
  </si>
  <si>
    <t>A1:A2</t>
  </si>
  <si>
    <t>Widerstandskoeffizient bei Querschnittsaufweitung</t>
  </si>
  <si>
    <r>
      <t>mittlere Rauhigkeit der Innenwand k</t>
    </r>
    <r>
      <rPr>
        <vertAlign val="subscript"/>
        <sz val="10"/>
        <rFont val="Century Gothic"/>
        <family val="2"/>
      </rPr>
      <t>f</t>
    </r>
    <r>
      <rPr>
        <sz val="10"/>
        <rFont val="Century Gothic"/>
        <family val="2"/>
      </rPr>
      <t xml:space="preserve"> </t>
    </r>
  </si>
  <si>
    <t>Mittl. Temp. des Abgases im Verbindungsstück TmV</t>
  </si>
  <si>
    <t>Abkühlzahl K</t>
  </si>
  <si>
    <t>Gaskonstante des Abgases R [J/kg.K]</t>
  </si>
  <si>
    <t>Außenluftdruck pL [Pa]</t>
  </si>
  <si>
    <r>
      <t xml:space="preserve">Dichte der Außenluft </t>
    </r>
    <r>
      <rPr>
        <sz val="10"/>
        <rFont val="Symbol"/>
        <family val="1"/>
        <charset val="2"/>
      </rPr>
      <t>r</t>
    </r>
    <r>
      <rPr>
        <vertAlign val="subscript"/>
        <sz val="10"/>
        <rFont val="Century Gothic"/>
        <family val="2"/>
      </rPr>
      <t>L</t>
    </r>
  </si>
  <si>
    <r>
      <t>Korrekturfaktor S</t>
    </r>
    <r>
      <rPr>
        <vertAlign val="subscript"/>
        <sz val="10"/>
        <rFont val="Century Gothic"/>
        <family val="2"/>
      </rPr>
      <t>H</t>
    </r>
  </si>
  <si>
    <r>
      <t>c</t>
    </r>
    <r>
      <rPr>
        <vertAlign val="subscript"/>
        <sz val="10"/>
        <rFont val="Century Gothic"/>
        <family val="2"/>
      </rPr>
      <t xml:space="preserve">p </t>
    </r>
    <r>
      <rPr>
        <sz val="10"/>
        <rFont val="Century Gothic"/>
        <family val="2"/>
      </rPr>
      <t>[J/kg.K]</t>
    </r>
  </si>
  <si>
    <t>[ m²K/W ]</t>
  </si>
  <si>
    <t>[ m ]</t>
  </si>
  <si>
    <t>[ m² ]</t>
  </si>
  <si>
    <t>[ kg ]</t>
  </si>
  <si>
    <t>[ - ]</t>
  </si>
  <si>
    <t>[ °C ]</t>
  </si>
  <si>
    <r>
      <t xml:space="preserve">Wärmeübergangskoeffizient, innen
</t>
    </r>
    <r>
      <rPr>
        <sz val="12"/>
        <rFont val="Symbol"/>
        <family val="1"/>
        <charset val="2"/>
      </rPr>
      <t xml:space="preserve"> a</t>
    </r>
    <r>
      <rPr>
        <vertAlign val="subscript"/>
        <sz val="10"/>
        <rFont val="Century Gothic"/>
        <family val="2"/>
      </rPr>
      <t xml:space="preserve">i  </t>
    </r>
    <r>
      <rPr>
        <sz val="10"/>
        <rFont val="Century Gothic"/>
        <family val="2"/>
      </rPr>
      <t>[ W / m²*K ]</t>
    </r>
  </si>
  <si>
    <t>Abgasmassenstrom m 
[ kg/s ]</t>
  </si>
  <si>
    <r>
      <t>Abkühlzahl K</t>
    </r>
    <r>
      <rPr>
        <vertAlign val="subscript"/>
        <sz val="10"/>
        <rFont val="Century Gothic"/>
        <family val="2"/>
      </rPr>
      <t xml:space="preserve">V
</t>
    </r>
    <r>
      <rPr>
        <sz val="10"/>
        <rFont val="Century Gothic"/>
        <family val="2"/>
      </rPr>
      <t>[ - ]</t>
    </r>
  </si>
  <si>
    <t>Wärmedurchgangskoeffizient k
[W / m².K ]</t>
  </si>
  <si>
    <t>Wärmekapazität cp
[ J/kg.K ]</t>
  </si>
  <si>
    <r>
      <t>Abgastemperatur an der Abgaseinführung 
der Abgasanlage T</t>
    </r>
    <r>
      <rPr>
        <vertAlign val="subscript"/>
        <sz val="10"/>
        <rFont val="Century Gothic"/>
        <family val="2"/>
      </rPr>
      <t>e</t>
    </r>
    <r>
      <rPr>
        <sz val="10"/>
        <rFont val="Century Gothic"/>
        <family val="2"/>
      </rPr>
      <t>:</t>
    </r>
  </si>
  <si>
    <t>BRENNRAUM</t>
  </si>
  <si>
    <r>
      <t>Zuglänge L</t>
    </r>
    <r>
      <rPr>
        <b/>
        <vertAlign val="subscript"/>
        <sz val="10"/>
        <color theme="0"/>
        <rFont val="Century Gothic"/>
        <family val="2"/>
      </rPr>
      <t>Z</t>
    </r>
    <r>
      <rPr>
        <b/>
        <sz val="10"/>
        <color theme="0"/>
        <rFont val="Century Gothic"/>
        <family val="2"/>
      </rPr>
      <t>:</t>
    </r>
  </si>
  <si>
    <t>Kachelofen-Zugberechnung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</si>
</sst>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öS&quot;\ * #,##0.00_-;\-&quot;öS&quot;\ * #,##0.00_-;_-&quot;öS&quot;\ * &quot;-&quot;??_-;_-@_-"/>
    <numFmt numFmtId="165" formatCode="0.000000"/>
    <numFmt numFmtId="166" formatCode="0.00000"/>
    <numFmt numFmtId="167" formatCode="0.0000"/>
    <numFmt numFmtId="168" formatCode="0.000"/>
    <numFmt numFmtId="169" formatCode="0.0"/>
    <numFmt numFmtId="170" formatCode="0.0000000"/>
    <numFmt numFmtId="171" formatCode="#0.##\ \P\a"/>
    <numFmt numFmtId="172" formatCode="d/\ mmmm\ yyyy"/>
  </numFmts>
  <fonts count="35" x14ac:knownFonts="1">
    <font>
      <sz val="10"/>
      <name val="Arial"/>
    </font>
    <font>
      <sz val="10"/>
      <name val="Arial"/>
    </font>
    <font>
      <sz val="8"/>
      <color indexed="81"/>
      <name val="Tahoma"/>
    </font>
    <font>
      <b/>
      <sz val="8"/>
      <color indexed="81"/>
      <name val="Tahoma"/>
    </font>
    <font>
      <b/>
      <sz val="14"/>
      <name val="Century Gothic"/>
      <family val="2"/>
    </font>
    <font>
      <b/>
      <i/>
      <sz val="12"/>
      <name val="Century Gothic"/>
      <family val="2"/>
    </font>
    <font>
      <sz val="10"/>
      <name val="Century Gothic"/>
      <family val="2"/>
    </font>
    <font>
      <b/>
      <sz val="12"/>
      <name val="Century Gothic"/>
      <family val="2"/>
    </font>
    <font>
      <b/>
      <sz val="10"/>
      <name val="Century Gothic"/>
      <family val="2"/>
    </font>
    <font>
      <i/>
      <sz val="10"/>
      <name val="Century Gothic"/>
      <family val="2"/>
    </font>
    <font>
      <vertAlign val="subscript"/>
      <sz val="10"/>
      <name val="Century Gothic"/>
      <family val="2"/>
    </font>
    <font>
      <sz val="8"/>
      <name val="Century Gothic"/>
      <family val="2"/>
    </font>
    <font>
      <b/>
      <sz val="10"/>
      <color indexed="9"/>
      <name val="Century Gothic"/>
      <family val="2"/>
    </font>
    <font>
      <sz val="10"/>
      <color indexed="9"/>
      <name val="Century Gothic"/>
      <family val="2"/>
    </font>
    <font>
      <b/>
      <vertAlign val="subscript"/>
      <sz val="10"/>
      <name val="Century Gothic"/>
      <family val="2"/>
    </font>
    <font>
      <b/>
      <sz val="8"/>
      <name val="Century Gothic"/>
      <family val="2"/>
    </font>
    <font>
      <sz val="10"/>
      <color indexed="10"/>
      <name val="Century Gothic"/>
      <family val="2"/>
    </font>
    <font>
      <b/>
      <sz val="20"/>
      <name val="Century Gothic"/>
      <family val="2"/>
    </font>
    <font>
      <b/>
      <sz val="12"/>
      <name val="Arial"/>
      <family val="2"/>
    </font>
    <font>
      <b/>
      <sz val="10"/>
      <name val="Arial"/>
      <family val="2"/>
    </font>
    <font>
      <sz val="10"/>
      <name val="Arial"/>
      <family val="2"/>
    </font>
    <font>
      <sz val="10"/>
      <name val="Symbol"/>
      <family val="1"/>
      <charset val="2"/>
    </font>
    <font>
      <b/>
      <sz val="10"/>
      <name val="Symbol"/>
      <family val="1"/>
      <charset val="2"/>
    </font>
    <font>
      <sz val="14"/>
      <name val="Century Gothic"/>
      <family val="2"/>
    </font>
    <font>
      <b/>
      <sz val="60"/>
      <name val="Century Gothic"/>
      <family val="2"/>
    </font>
    <font>
      <sz val="11"/>
      <name val="Century Gothic"/>
      <family val="2"/>
    </font>
    <font>
      <u/>
      <sz val="10"/>
      <name val="Century Gothic"/>
      <family val="2"/>
    </font>
    <font>
      <sz val="17"/>
      <name val="Century Gothic"/>
      <family val="2"/>
    </font>
    <font>
      <b/>
      <sz val="12"/>
      <color indexed="81"/>
      <name val="Tahoma"/>
      <family val="2"/>
    </font>
    <font>
      <b/>
      <vertAlign val="subscript"/>
      <sz val="12"/>
      <name val="Century Gothic"/>
      <family val="2"/>
    </font>
    <font>
      <b/>
      <sz val="12"/>
      <name val="Symbol"/>
      <family val="1"/>
      <charset val="2"/>
    </font>
    <font>
      <sz val="12"/>
      <name val="Symbol"/>
      <family val="1"/>
      <charset val="2"/>
    </font>
    <font>
      <sz val="10"/>
      <color theme="0"/>
      <name val="Century Gothic"/>
      <family val="2"/>
    </font>
    <font>
      <b/>
      <sz val="10"/>
      <color theme="0"/>
      <name val="Century Gothic"/>
      <family val="2"/>
    </font>
    <font>
      <b/>
      <vertAlign val="subscript"/>
      <sz val="10"/>
      <color theme="0"/>
      <name val="Century Gothic"/>
      <family val="2"/>
    </font>
  </fonts>
  <fills count="9">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diagonal/>
    </border>
    <border>
      <left style="medium">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512">
    <xf numFmtId="0" fontId="0" fillId="0" borderId="0" xfId="0"/>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xf>
    <xf numFmtId="0" fontId="6" fillId="0" borderId="0" xfId="0" applyFont="1" applyBorder="1" applyAlignment="1">
      <alignment horizontal="left"/>
    </xf>
    <xf numFmtId="0" fontId="8" fillId="0" borderId="0" xfId="0" applyFont="1" applyBorder="1" applyAlignment="1">
      <alignment horizontal="center"/>
    </xf>
    <xf numFmtId="0" fontId="6" fillId="0" borderId="0" xfId="0" applyFont="1" applyBorder="1" applyAlignment="1">
      <alignment horizontal="center"/>
    </xf>
    <xf numFmtId="0" fontId="9" fillId="0" borderId="0" xfId="0" applyFont="1" applyBorder="1"/>
    <xf numFmtId="0" fontId="8" fillId="0" borderId="0" xfId="0" applyFont="1" applyBorder="1"/>
    <xf numFmtId="0" fontId="6" fillId="0" borderId="0" xfId="0" applyFont="1" applyBorder="1"/>
    <xf numFmtId="0" fontId="4" fillId="0" borderId="0" xfId="0" applyFont="1" applyProtection="1">
      <protection hidden="1"/>
    </xf>
    <xf numFmtId="0" fontId="6" fillId="0" borderId="0" xfId="0" applyFont="1" applyProtection="1">
      <protection hidden="1"/>
    </xf>
    <xf numFmtId="0" fontId="8" fillId="0" borderId="0" xfId="0" applyFont="1" applyBorder="1" applyProtection="1">
      <protection hidden="1"/>
    </xf>
    <xf numFmtId="0" fontId="6" fillId="0" borderId="0" xfId="0" applyFont="1" applyBorder="1" applyProtection="1">
      <protection hidden="1"/>
    </xf>
    <xf numFmtId="0" fontId="6" fillId="0" borderId="1" xfId="0" applyFont="1" applyBorder="1" applyAlignment="1" applyProtection="1">
      <alignment horizontal="center"/>
      <protection hidden="1"/>
    </xf>
    <xf numFmtId="0" fontId="6" fillId="0" borderId="1" xfId="0" applyFont="1" applyBorder="1" applyProtection="1">
      <protection hidden="1"/>
    </xf>
    <xf numFmtId="0" fontId="6" fillId="0" borderId="0" xfId="0" applyFont="1" applyFill="1" applyBorder="1" applyProtection="1">
      <protection hidden="1"/>
    </xf>
    <xf numFmtId="169" fontId="8" fillId="0" borderId="1" xfId="0" applyNumberFormat="1" applyFont="1" applyBorder="1" applyProtection="1">
      <protection hidden="1"/>
    </xf>
    <xf numFmtId="169" fontId="6" fillId="0" borderId="1" xfId="0" applyNumberFormat="1" applyFont="1" applyBorder="1" applyProtection="1">
      <protection hidden="1"/>
    </xf>
    <xf numFmtId="0" fontId="11" fillId="2" borderId="0" xfId="0" applyFont="1" applyFill="1" applyProtection="1">
      <protection hidden="1"/>
    </xf>
    <xf numFmtId="0" fontId="6" fillId="2" borderId="0" xfId="0" applyFont="1" applyFill="1" applyProtection="1">
      <protection hidden="1"/>
    </xf>
    <xf numFmtId="0" fontId="6" fillId="0" borderId="0" xfId="0" applyFont="1" applyFill="1" applyProtection="1">
      <protection hidden="1"/>
    </xf>
    <xf numFmtId="0" fontId="6" fillId="2" borderId="1" xfId="0" applyFont="1" applyFill="1" applyBorder="1" applyProtection="1">
      <protection hidden="1"/>
    </xf>
    <xf numFmtId="0" fontId="12" fillId="0" borderId="0" xfId="0" applyFont="1" applyFill="1" applyBorder="1" applyAlignment="1" applyProtection="1">
      <alignment horizontal="center"/>
      <protection hidden="1"/>
    </xf>
    <xf numFmtId="0" fontId="8" fillId="0" borderId="0" xfId="0" applyFont="1" applyFill="1" applyAlignment="1" applyProtection="1">
      <alignment horizontal="center"/>
      <protection hidden="1"/>
    </xf>
    <xf numFmtId="169" fontId="6" fillId="0" borderId="0" xfId="0" applyNumberFormat="1" applyFont="1" applyProtection="1">
      <protection hidden="1"/>
    </xf>
    <xf numFmtId="0" fontId="13" fillId="0" borderId="0" xfId="0" applyFont="1" applyProtection="1">
      <protection hidden="1"/>
    </xf>
    <xf numFmtId="0" fontId="8" fillId="0" borderId="0" xfId="0" applyFont="1" applyBorder="1" applyAlignment="1" applyProtection="1">
      <alignment horizontal="center"/>
      <protection hidden="1"/>
    </xf>
    <xf numFmtId="14" fontId="6" fillId="0" borderId="0" xfId="0" applyNumberFormat="1" applyFont="1" applyBorder="1" applyProtection="1">
      <protection hidden="1"/>
    </xf>
    <xf numFmtId="0" fontId="6" fillId="0" borderId="0" xfId="0" applyFont="1" applyBorder="1" applyAlignment="1" applyProtection="1">
      <alignment horizontal="center"/>
      <protection hidden="1"/>
    </xf>
    <xf numFmtId="0" fontId="6" fillId="3" borderId="2" xfId="0" applyFont="1" applyFill="1" applyBorder="1" applyProtection="1">
      <protection hidden="1"/>
    </xf>
    <xf numFmtId="0" fontId="8" fillId="0" borderId="1" xfId="0" applyFont="1" applyBorder="1" applyAlignment="1" applyProtection="1">
      <alignment horizontal="center"/>
      <protection hidden="1"/>
    </xf>
    <xf numFmtId="168" fontId="8" fillId="0" borderId="1" xfId="0" applyNumberFormat="1" applyFont="1" applyBorder="1" applyProtection="1">
      <protection hidden="1"/>
    </xf>
    <xf numFmtId="1" fontId="8" fillId="0" borderId="1" xfId="0" applyNumberFormat="1" applyFont="1" applyBorder="1" applyProtection="1">
      <protection hidden="1"/>
    </xf>
    <xf numFmtId="0" fontId="8" fillId="4"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169" fontId="6" fillId="0" borderId="0" xfId="0" applyNumberFormat="1" applyFont="1" applyBorder="1" applyProtection="1">
      <protection hidden="1"/>
    </xf>
    <xf numFmtId="168" fontId="6" fillId="0" borderId="0" xfId="0" applyNumberFormat="1" applyFont="1" applyBorder="1" applyProtection="1">
      <protection hidden="1"/>
    </xf>
    <xf numFmtId="1" fontId="6" fillId="0" borderId="0" xfId="0" applyNumberFormat="1" applyFont="1" applyBorder="1" applyProtection="1">
      <protection hidden="1"/>
    </xf>
    <xf numFmtId="0" fontId="8" fillId="0" borderId="0" xfId="0" applyFont="1" applyFill="1" applyBorder="1" applyAlignment="1" applyProtection="1">
      <alignment horizontal="center"/>
      <protection hidden="1"/>
    </xf>
    <xf numFmtId="169" fontId="6" fillId="0" borderId="3" xfId="0" applyNumberFormat="1" applyFont="1" applyBorder="1" applyProtection="1">
      <protection hidden="1"/>
    </xf>
    <xf numFmtId="2" fontId="8" fillId="0" borderId="1" xfId="0" applyNumberFormat="1" applyFont="1" applyBorder="1" applyProtection="1">
      <protection hidden="1"/>
    </xf>
    <xf numFmtId="2" fontId="6" fillId="0" borderId="0" xfId="0" applyNumberFormat="1" applyFont="1" applyBorder="1" applyProtection="1">
      <protection hidden="1"/>
    </xf>
    <xf numFmtId="0" fontId="6" fillId="0" borderId="0" xfId="0" applyFont="1" applyAlignment="1" applyProtection="1">
      <alignment wrapText="1"/>
      <protection hidden="1"/>
    </xf>
    <xf numFmtId="0" fontId="6" fillId="0" borderId="4" xfId="0" applyFont="1" applyBorder="1" applyAlignment="1" applyProtection="1">
      <alignment horizontal="center"/>
      <protection hidden="1"/>
    </xf>
    <xf numFmtId="0" fontId="8" fillId="0" borderId="5" xfId="0" applyFont="1" applyBorder="1" applyProtection="1">
      <protection hidden="1"/>
    </xf>
    <xf numFmtId="2" fontId="6" fillId="0" borderId="6" xfId="0" applyNumberFormat="1" applyFont="1" applyBorder="1" applyAlignment="1" applyProtection="1">
      <alignment horizontal="center"/>
      <protection hidden="1"/>
    </xf>
    <xf numFmtId="0" fontId="6" fillId="5" borderId="2" xfId="0" applyFont="1" applyFill="1" applyBorder="1" applyProtection="1">
      <protection hidden="1"/>
    </xf>
    <xf numFmtId="2" fontId="6" fillId="0" borderId="5" xfId="0" applyNumberFormat="1" applyFont="1" applyBorder="1" applyProtection="1">
      <protection hidden="1"/>
    </xf>
    <xf numFmtId="0" fontId="6" fillId="5" borderId="7" xfId="0" applyFont="1" applyFill="1" applyBorder="1" applyAlignment="1" applyProtection="1">
      <alignment horizontal="center"/>
      <protection hidden="1"/>
    </xf>
    <xf numFmtId="0" fontId="6" fillId="5" borderId="2" xfId="0" applyFont="1" applyFill="1" applyBorder="1" applyAlignment="1" applyProtection="1">
      <alignment horizontal="center"/>
      <protection hidden="1"/>
    </xf>
    <xf numFmtId="0" fontId="6" fillId="0" borderId="7" xfId="0" applyFont="1" applyBorder="1" applyProtection="1">
      <protection hidden="1"/>
    </xf>
    <xf numFmtId="2" fontId="6" fillId="0" borderId="2" xfId="0" applyNumberFormat="1" applyFont="1" applyBorder="1" applyProtection="1">
      <protection hidden="1"/>
    </xf>
    <xf numFmtId="0" fontId="6" fillId="0" borderId="8" xfId="0" applyFont="1" applyBorder="1" applyProtection="1">
      <protection hidden="1"/>
    </xf>
    <xf numFmtId="0" fontId="6" fillId="0" borderId="4" xfId="0" applyFont="1" applyBorder="1" applyProtection="1">
      <protection hidden="1"/>
    </xf>
    <xf numFmtId="0" fontId="8" fillId="0" borderId="9" xfId="0" applyFont="1" applyBorder="1" applyAlignment="1" applyProtection="1">
      <alignment horizontal="left"/>
      <protection hidden="1"/>
    </xf>
    <xf numFmtId="0" fontId="8" fillId="0" borderId="10" xfId="0" applyFont="1" applyBorder="1" applyAlignment="1" applyProtection="1">
      <alignment horizontal="left"/>
      <protection hidden="1"/>
    </xf>
    <xf numFmtId="0" fontId="8" fillId="0" borderId="11" xfId="0" applyFont="1" applyBorder="1" applyAlignment="1" applyProtection="1">
      <alignment horizontal="left"/>
      <protection hidden="1"/>
    </xf>
    <xf numFmtId="0" fontId="8" fillId="0" borderId="12" xfId="0" applyFont="1" applyBorder="1" applyAlignment="1" applyProtection="1">
      <alignment horizontal="left"/>
      <protection hidden="1"/>
    </xf>
    <xf numFmtId="0" fontId="13" fillId="6" borderId="13" xfId="0" applyFont="1" applyFill="1" applyBorder="1" applyAlignment="1" applyProtection="1">
      <alignment horizontal="center"/>
      <protection hidden="1"/>
    </xf>
    <xf numFmtId="0" fontId="6" fillId="0" borderId="14" xfId="0" applyFont="1" applyBorder="1" applyProtection="1">
      <protection hidden="1"/>
    </xf>
    <xf numFmtId="0" fontId="6" fillId="5" borderId="15" xfId="0" applyFont="1" applyFill="1" applyBorder="1" applyProtection="1">
      <protection hidden="1"/>
    </xf>
    <xf numFmtId="2" fontId="6" fillId="0" borderId="16" xfId="0" applyNumberFormat="1" applyFont="1" applyBorder="1" applyProtection="1">
      <protection hidden="1"/>
    </xf>
    <xf numFmtId="0" fontId="6" fillId="5" borderId="17" xfId="0" applyFont="1" applyFill="1" applyBorder="1" applyAlignment="1" applyProtection="1">
      <alignment horizontal="center"/>
      <protection hidden="1"/>
    </xf>
    <xf numFmtId="0" fontId="6" fillId="5" borderId="16" xfId="0" applyFont="1" applyFill="1" applyBorder="1" applyAlignment="1" applyProtection="1">
      <alignment horizontal="center"/>
      <protection hidden="1"/>
    </xf>
    <xf numFmtId="0" fontId="6" fillId="0" borderId="18" xfId="0" applyFont="1" applyBorder="1" applyProtection="1">
      <protection hidden="1"/>
    </xf>
    <xf numFmtId="0" fontId="6" fillId="0" borderId="13" xfId="0" applyFont="1" applyBorder="1" applyProtection="1">
      <protection hidden="1"/>
    </xf>
    <xf numFmtId="0" fontId="6" fillId="0" borderId="19" xfId="0" applyFont="1" applyBorder="1" applyProtection="1">
      <protection hidden="1"/>
    </xf>
    <xf numFmtId="0" fontId="6" fillId="6" borderId="20" xfId="0" applyFont="1" applyFill="1" applyBorder="1" applyProtection="1">
      <protection hidden="1"/>
    </xf>
    <xf numFmtId="2" fontId="6" fillId="0" borderId="21" xfId="0" applyNumberFormat="1" applyFont="1" applyBorder="1" applyProtection="1">
      <protection hidden="1"/>
    </xf>
    <xf numFmtId="2" fontId="6" fillId="0" borderId="22" xfId="0" applyNumberFormat="1" applyFont="1" applyBorder="1" applyProtection="1">
      <protection hidden="1"/>
    </xf>
    <xf numFmtId="169" fontId="8" fillId="4" borderId="0" xfId="0" applyNumberFormat="1" applyFont="1" applyFill="1" applyBorder="1" applyAlignment="1" applyProtection="1">
      <alignment horizontal="center"/>
      <protection hidden="1"/>
    </xf>
    <xf numFmtId="0" fontId="6" fillId="0" borderId="23" xfId="0" applyFont="1" applyBorder="1" applyAlignment="1" applyProtection="1">
      <alignment horizontal="right"/>
      <protection hidden="1"/>
    </xf>
    <xf numFmtId="2" fontId="6" fillId="0" borderId="24" xfId="0" applyNumberFormat="1" applyFont="1" applyBorder="1" applyProtection="1">
      <protection hidden="1"/>
    </xf>
    <xf numFmtId="0" fontId="13" fillId="6" borderId="25" xfId="0" applyFont="1" applyFill="1" applyBorder="1" applyProtection="1">
      <protection hidden="1"/>
    </xf>
    <xf numFmtId="1" fontId="6" fillId="0" borderId="14" xfId="0" applyNumberFormat="1" applyFont="1" applyBorder="1" applyProtection="1">
      <protection hidden="1"/>
    </xf>
    <xf numFmtId="2" fontId="6" fillId="5" borderId="16" xfId="0" applyNumberFormat="1" applyFont="1" applyFill="1" applyBorder="1" applyAlignment="1" applyProtection="1">
      <alignment horizontal="center"/>
      <protection hidden="1"/>
    </xf>
    <xf numFmtId="0" fontId="6" fillId="0" borderId="13"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6" fillId="0" borderId="3" xfId="0" applyFont="1" applyBorder="1" applyProtection="1">
      <protection hidden="1"/>
    </xf>
    <xf numFmtId="0" fontId="6" fillId="0" borderId="24" xfId="0" applyFont="1" applyBorder="1" applyProtection="1">
      <protection hidden="1"/>
    </xf>
    <xf numFmtId="0" fontId="6" fillId="0" borderId="7" xfId="0" applyFont="1" applyBorder="1" applyAlignment="1" applyProtection="1">
      <alignment horizontal="center"/>
      <protection hidden="1"/>
    </xf>
    <xf numFmtId="2" fontId="6" fillId="2" borderId="7" xfId="0" applyNumberFormat="1" applyFont="1" applyFill="1" applyBorder="1" applyProtection="1">
      <protection hidden="1"/>
    </xf>
    <xf numFmtId="0" fontId="6" fillId="2" borderId="26" xfId="0" applyFont="1" applyFill="1" applyBorder="1" applyProtection="1">
      <protection hidden="1"/>
    </xf>
    <xf numFmtId="0" fontId="8" fillId="0" borderId="0" xfId="0" applyFont="1" applyProtection="1">
      <protection hidden="1"/>
    </xf>
    <xf numFmtId="168" fontId="6" fillId="0" borderId="0" xfId="0" applyNumberFormat="1" applyFont="1" applyProtection="1">
      <protection hidden="1"/>
    </xf>
    <xf numFmtId="0" fontId="6" fillId="0" borderId="27" xfId="0" applyFont="1" applyBorder="1" applyProtection="1">
      <protection hidden="1"/>
    </xf>
    <xf numFmtId="0" fontId="6" fillId="0" borderId="2" xfId="0" applyFont="1" applyBorder="1" applyAlignment="1" applyProtection="1">
      <alignment horizontal="center"/>
      <protection hidden="1"/>
    </xf>
    <xf numFmtId="0" fontId="6" fillId="0" borderId="28" xfId="0" applyFont="1" applyBorder="1" applyProtection="1">
      <protection hidden="1"/>
    </xf>
    <xf numFmtId="168" fontId="6" fillId="0" borderId="0" xfId="0" applyNumberFormat="1" applyFont="1"/>
    <xf numFmtId="2" fontId="6" fillId="0" borderId="0" xfId="0" applyNumberFormat="1" applyFont="1"/>
    <xf numFmtId="0" fontId="17" fillId="0" borderId="0" xfId="0" applyFont="1" applyProtection="1">
      <protection hidden="1"/>
    </xf>
    <xf numFmtId="0" fontId="6" fillId="0" borderId="1" xfId="0" applyFont="1" applyBorder="1"/>
    <xf numFmtId="0" fontId="6" fillId="0" borderId="28" xfId="0" applyFont="1" applyBorder="1"/>
    <xf numFmtId="2" fontId="6" fillId="0" borderId="0" xfId="0" applyNumberFormat="1" applyFont="1" applyBorder="1"/>
    <xf numFmtId="2" fontId="8" fillId="0" borderId="0" xfId="0" applyNumberFormat="1" applyFont="1" applyBorder="1"/>
    <xf numFmtId="168" fontId="6" fillId="0" borderId="0" xfId="0" applyNumberFormat="1" applyFont="1" applyBorder="1"/>
    <xf numFmtId="169" fontId="6" fillId="0" borderId="0" xfId="0" applyNumberFormat="1" applyFont="1" applyBorder="1"/>
    <xf numFmtId="2" fontId="8" fillId="0" borderId="0" xfId="0" applyNumberFormat="1" applyFont="1"/>
    <xf numFmtId="169" fontId="6" fillId="0" borderId="0" xfId="0" applyNumberFormat="1" applyFont="1"/>
    <xf numFmtId="0" fontId="8" fillId="0" borderId="2" xfId="0" applyFont="1" applyBorder="1"/>
    <xf numFmtId="0" fontId="6" fillId="0" borderId="28"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11" fillId="0" borderId="0" xfId="0" applyFont="1" applyBorder="1"/>
    <xf numFmtId="2" fontId="11" fillId="0" borderId="0" xfId="0" applyNumberFormat="1" applyFont="1" applyBorder="1"/>
    <xf numFmtId="2" fontId="15" fillId="0" borderId="0" xfId="0" applyNumberFormat="1" applyFont="1" applyBorder="1"/>
    <xf numFmtId="168" fontId="11" fillId="0" borderId="0" xfId="0" applyNumberFormat="1" applyFont="1" applyBorder="1"/>
    <xf numFmtId="169" fontId="11" fillId="0" borderId="0" xfId="0" applyNumberFormat="1" applyFont="1" applyBorder="1"/>
    <xf numFmtId="169" fontId="6" fillId="0" borderId="0" xfId="0" applyNumberFormat="1" applyFont="1" applyAlignment="1">
      <alignment horizontal="right"/>
    </xf>
    <xf numFmtId="0" fontId="16" fillId="0" borderId="1" xfId="0" applyFont="1" applyBorder="1"/>
    <xf numFmtId="0" fontId="8" fillId="0" borderId="1" xfId="0" applyFont="1" applyBorder="1" applyAlignment="1">
      <alignment horizontal="center"/>
    </xf>
    <xf numFmtId="0" fontId="6" fillId="0" borderId="22" xfId="0" applyFont="1" applyBorder="1" applyProtection="1">
      <protection hidden="1"/>
    </xf>
    <xf numFmtId="0" fontId="6" fillId="0" borderId="27" xfId="0" applyFont="1" applyFill="1" applyBorder="1" applyProtection="1">
      <protection hidden="1"/>
    </xf>
    <xf numFmtId="0" fontId="8" fillId="0" borderId="1" xfId="0" applyFont="1" applyBorder="1" applyProtection="1">
      <protection hidden="1"/>
    </xf>
    <xf numFmtId="0" fontId="6" fillId="0" borderId="0" xfId="0" applyFont="1" applyAlignment="1" applyProtection="1">
      <alignment horizontal="center"/>
      <protection hidden="1"/>
    </xf>
    <xf numFmtId="2" fontId="6" fillId="0" borderId="0" xfId="0" applyNumberFormat="1" applyFont="1" applyFill="1" applyProtection="1">
      <protection hidden="1"/>
    </xf>
    <xf numFmtId="0" fontId="6" fillId="0" borderId="0" xfId="0" applyFont="1" applyAlignment="1" applyProtection="1">
      <alignment horizontal="center" wrapText="1"/>
      <protection hidden="1"/>
    </xf>
    <xf numFmtId="2" fontId="6" fillId="0" borderId="0" xfId="0" applyNumberFormat="1" applyFont="1" applyProtection="1">
      <protection hidden="1"/>
    </xf>
    <xf numFmtId="1" fontId="6" fillId="0" borderId="0" xfId="0" applyNumberFormat="1" applyFont="1" applyProtection="1">
      <protection hidden="1"/>
    </xf>
    <xf numFmtId="0" fontId="6" fillId="0" borderId="2" xfId="0" applyFont="1" applyBorder="1" applyProtection="1">
      <protection hidden="1"/>
    </xf>
    <xf numFmtId="0" fontId="0" fillId="0" borderId="0" xfId="0" applyAlignment="1" applyProtection="1">
      <alignment horizontal="center"/>
      <protection hidden="1"/>
    </xf>
    <xf numFmtId="0" fontId="6" fillId="2" borderId="0" xfId="0" applyFont="1" applyFill="1" applyBorder="1" applyProtection="1">
      <protection hidden="1"/>
    </xf>
    <xf numFmtId="0" fontId="11" fillId="2" borderId="0" xfId="0" applyFont="1" applyFill="1" applyBorder="1" applyProtection="1">
      <protection hidden="1"/>
    </xf>
    <xf numFmtId="0" fontId="0" fillId="0" borderId="1" xfId="0" applyBorder="1"/>
    <xf numFmtId="0" fontId="0" fillId="0" borderId="22" xfId="0" applyBorder="1"/>
    <xf numFmtId="0" fontId="18" fillId="5" borderId="2" xfId="0" applyFont="1" applyFill="1" applyBorder="1" applyAlignment="1">
      <alignment horizontal="center"/>
    </xf>
    <xf numFmtId="0" fontId="18" fillId="5" borderId="2" xfId="0" applyFont="1" applyFill="1" applyBorder="1"/>
    <xf numFmtId="0" fontId="0" fillId="0" borderId="1"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22" xfId="0" applyBorder="1" applyAlignment="1" applyProtection="1">
      <alignment horizontal="center"/>
      <protection hidden="1"/>
    </xf>
    <xf numFmtId="0" fontId="0" fillId="0" borderId="1" xfId="0" applyBorder="1" applyAlignment="1" applyProtection="1">
      <alignment horizontal="center"/>
      <protection hidden="1"/>
    </xf>
    <xf numFmtId="3" fontId="0" fillId="0" borderId="1" xfId="0" applyNumberFormat="1" applyBorder="1" applyAlignment="1" applyProtection="1">
      <alignment horizontal="center"/>
      <protection hidden="1"/>
    </xf>
    <xf numFmtId="0" fontId="6" fillId="0" borderId="29" xfId="0" applyFont="1" applyBorder="1" applyProtection="1">
      <protection hidden="1"/>
    </xf>
    <xf numFmtId="0" fontId="6" fillId="0" borderId="30" xfId="0" applyFont="1" applyBorder="1" applyProtection="1">
      <protection hidden="1"/>
    </xf>
    <xf numFmtId="0" fontId="0" fillId="0" borderId="28" xfId="0" applyBorder="1" applyAlignment="1" applyProtection="1">
      <alignment horizontal="center"/>
      <protection hidden="1"/>
    </xf>
    <xf numFmtId="0" fontId="0" fillId="0" borderId="31" xfId="0" applyBorder="1"/>
    <xf numFmtId="0" fontId="8" fillId="5" borderId="2" xfId="0" applyFont="1" applyFill="1" applyBorder="1" applyProtection="1">
      <protection hidden="1"/>
    </xf>
    <xf numFmtId="0" fontId="8" fillId="5" borderId="2" xfId="0" applyFont="1" applyFill="1" applyBorder="1"/>
    <xf numFmtId="0" fontId="8" fillId="5" borderId="2" xfId="0" applyFont="1" applyFill="1"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20" fillId="0" borderId="1" xfId="0" applyFont="1" applyBorder="1" applyAlignment="1" applyProtection="1">
      <alignment horizontal="center"/>
      <protection hidden="1"/>
    </xf>
    <xf numFmtId="0" fontId="19" fillId="0" borderId="1" xfId="0" applyFont="1" applyBorder="1" applyProtection="1">
      <protection hidden="1"/>
    </xf>
    <xf numFmtId="3" fontId="20" fillId="0" borderId="1" xfId="1" applyNumberFormat="1" applyFont="1" applyBorder="1" applyAlignment="1" applyProtection="1">
      <alignment horizontal="center"/>
      <protection hidden="1"/>
    </xf>
    <xf numFmtId="0" fontId="8" fillId="0" borderId="2" xfId="0" applyFont="1" applyBorder="1" applyProtection="1">
      <protection hidden="1"/>
    </xf>
    <xf numFmtId="0" fontId="6" fillId="0" borderId="28" xfId="0" applyFont="1" applyFill="1" applyBorder="1" applyAlignment="1" applyProtection="1">
      <alignment horizontal="left" vertical="center" wrapText="1"/>
      <protection locked="0" hidden="1"/>
    </xf>
    <xf numFmtId="0" fontId="6" fillId="0" borderId="1" xfId="0" applyFont="1" applyFill="1" applyBorder="1" applyAlignment="1" applyProtection="1">
      <alignment horizontal="left" vertical="center" wrapText="1"/>
      <protection locked="0" hidden="1"/>
    </xf>
    <xf numFmtId="0" fontId="19" fillId="0" borderId="32" xfId="0" applyFont="1" applyBorder="1" applyProtection="1">
      <protection hidden="1"/>
    </xf>
    <xf numFmtId="0" fontId="6" fillId="0" borderId="33" xfId="0" applyFont="1" applyBorder="1" applyProtection="1">
      <protection hidden="1"/>
    </xf>
    <xf numFmtId="0" fontId="13" fillId="0" borderId="34" xfId="0" applyFont="1" applyBorder="1" applyProtection="1">
      <protection hidden="1"/>
    </xf>
    <xf numFmtId="2" fontId="6" fillId="0" borderId="35" xfId="0" applyNumberFormat="1" applyFont="1" applyBorder="1" applyProtection="1">
      <protection hidden="1"/>
    </xf>
    <xf numFmtId="2" fontId="8" fillId="0" borderId="11" xfId="0" applyNumberFormat="1" applyFont="1" applyBorder="1" applyAlignment="1" applyProtection="1">
      <alignment horizontal="left"/>
      <protection hidden="1"/>
    </xf>
    <xf numFmtId="2" fontId="6" fillId="0" borderId="4" xfId="0" applyNumberFormat="1" applyFont="1" applyBorder="1" applyProtection="1">
      <protection hidden="1"/>
    </xf>
    <xf numFmtId="2" fontId="8" fillId="0" borderId="12" xfId="0" applyNumberFormat="1" applyFont="1" applyBorder="1" applyAlignment="1" applyProtection="1">
      <alignment horizontal="left"/>
      <protection hidden="1"/>
    </xf>
    <xf numFmtId="2" fontId="6" fillId="0" borderId="19" xfId="0" applyNumberFormat="1" applyFont="1" applyBorder="1" applyProtection="1">
      <protection hidden="1"/>
    </xf>
    <xf numFmtId="0" fontId="6" fillId="0" borderId="36" xfId="0" applyFont="1" applyFill="1" applyBorder="1" applyProtection="1">
      <protection hidden="1"/>
    </xf>
    <xf numFmtId="0" fontId="6" fillId="0" borderId="36" xfId="0" applyFont="1" applyBorder="1" applyProtection="1">
      <protection hidden="1"/>
    </xf>
    <xf numFmtId="1" fontId="6" fillId="0" borderId="6" xfId="0" applyNumberFormat="1" applyFont="1" applyFill="1" applyBorder="1" applyProtection="1">
      <protection hidden="1"/>
    </xf>
    <xf numFmtId="0" fontId="6" fillId="6" borderId="37" xfId="0" applyFont="1" applyFill="1" applyBorder="1" applyAlignment="1" applyProtection="1">
      <alignment horizontal="center"/>
      <protection hidden="1"/>
    </xf>
    <xf numFmtId="2" fontId="8" fillId="0" borderId="38" xfId="0" applyNumberFormat="1" applyFont="1" applyBorder="1" applyAlignment="1" applyProtection="1">
      <alignment horizontal="left"/>
      <protection hidden="1"/>
    </xf>
    <xf numFmtId="1" fontId="6" fillId="0" borderId="5" xfId="0" applyNumberFormat="1" applyFont="1" applyBorder="1" applyProtection="1">
      <protection hidden="1"/>
    </xf>
    <xf numFmtId="2" fontId="6" fillId="0" borderId="39" xfId="0" applyNumberFormat="1" applyFont="1" applyBorder="1" applyAlignment="1" applyProtection="1">
      <alignment horizontal="center"/>
      <protection hidden="1"/>
    </xf>
    <xf numFmtId="2" fontId="6" fillId="0" borderId="36" xfId="0" applyNumberFormat="1" applyFont="1" applyBorder="1" applyProtection="1">
      <protection hidden="1"/>
    </xf>
    <xf numFmtId="0" fontId="13" fillId="0" borderId="27" xfId="0" applyFont="1" applyBorder="1" applyProtection="1">
      <protection hidden="1"/>
    </xf>
    <xf numFmtId="0" fontId="8" fillId="0" borderId="40" xfId="0" applyFont="1" applyBorder="1" applyAlignment="1" applyProtection="1">
      <alignment horizontal="center" wrapText="1"/>
      <protection hidden="1"/>
    </xf>
    <xf numFmtId="0" fontId="8" fillId="0" borderId="6" xfId="0" applyFont="1" applyBorder="1" applyAlignment="1" applyProtection="1">
      <alignment horizontal="center" wrapText="1"/>
      <protection hidden="1"/>
    </xf>
    <xf numFmtId="0" fontId="8" fillId="0" borderId="36" xfId="0" applyFont="1" applyBorder="1" applyAlignment="1" applyProtection="1">
      <alignment horizontal="center" wrapText="1"/>
      <protection hidden="1"/>
    </xf>
    <xf numFmtId="2" fontId="6" fillId="0" borderId="3" xfId="0" applyNumberFormat="1" applyFont="1" applyBorder="1" applyAlignment="1" applyProtection="1">
      <alignment horizontal="center"/>
      <protection hidden="1"/>
    </xf>
    <xf numFmtId="2" fontId="6" fillId="0" borderId="17" xfId="0" applyNumberFormat="1" applyFont="1" applyBorder="1" applyAlignment="1" applyProtection="1">
      <alignment horizontal="center"/>
      <protection hidden="1"/>
    </xf>
    <xf numFmtId="1" fontId="6" fillId="0" borderId="1" xfId="0" applyNumberFormat="1" applyFont="1" applyBorder="1" applyProtection="1">
      <protection hidden="1"/>
    </xf>
    <xf numFmtId="169" fontId="6" fillId="0" borderId="22" xfId="0" applyNumberFormat="1" applyFont="1" applyFill="1" applyBorder="1" applyProtection="1">
      <protection hidden="1"/>
    </xf>
    <xf numFmtId="169" fontId="6" fillId="0" borderId="24" xfId="0" applyNumberFormat="1" applyFont="1" applyFill="1" applyBorder="1" applyProtection="1">
      <protection hidden="1"/>
    </xf>
    <xf numFmtId="0" fontId="8" fillId="3" borderId="1" xfId="0" applyFont="1" applyFill="1" applyBorder="1" applyProtection="1">
      <protection locked="0" hidden="1"/>
    </xf>
    <xf numFmtId="0" fontId="8" fillId="3" borderId="28" xfId="0" applyFont="1" applyFill="1" applyBorder="1" applyProtection="1">
      <protection locked="0" hidden="1"/>
    </xf>
    <xf numFmtId="0" fontId="6" fillId="3" borderId="41" xfId="0" applyFont="1" applyFill="1" applyBorder="1" applyProtection="1">
      <protection locked="0" hidden="1"/>
    </xf>
    <xf numFmtId="0" fontId="6" fillId="3" borderId="16" xfId="0" applyFont="1" applyFill="1" applyBorder="1" applyProtection="1">
      <protection locked="0" hidden="1"/>
    </xf>
    <xf numFmtId="0" fontId="6" fillId="3" borderId="2" xfId="0" applyFont="1" applyFill="1" applyBorder="1" applyProtection="1">
      <protection locked="0" hidden="1"/>
    </xf>
    <xf numFmtId="0" fontId="6" fillId="3" borderId="42" xfId="0" applyFont="1" applyFill="1" applyBorder="1" applyProtection="1">
      <protection locked="0" hidden="1"/>
    </xf>
    <xf numFmtId="0" fontId="6" fillId="3" borderId="43" xfId="0" applyFont="1" applyFill="1" applyBorder="1" applyProtection="1">
      <protection locked="0" hidden="1"/>
    </xf>
    <xf numFmtId="0" fontId="6" fillId="3" borderId="44" xfId="0" applyFont="1" applyFill="1" applyBorder="1" applyProtection="1">
      <protection locked="0" hidden="1"/>
    </xf>
    <xf numFmtId="0" fontId="6" fillId="3" borderId="45" xfId="0" applyFont="1" applyFill="1" applyBorder="1" applyProtection="1">
      <protection locked="0" hidden="1"/>
    </xf>
    <xf numFmtId="0" fontId="6" fillId="3" borderId="1" xfId="0" applyFont="1" applyFill="1" applyBorder="1" applyProtection="1">
      <protection locked="0" hidden="1"/>
    </xf>
    <xf numFmtId="0" fontId="6" fillId="3" borderId="27" xfId="0" applyFont="1" applyFill="1" applyBorder="1" applyProtection="1">
      <protection locked="0" hidden="1"/>
    </xf>
    <xf numFmtId="0" fontId="6" fillId="3" borderId="46" xfId="0" applyFont="1" applyFill="1" applyBorder="1" applyProtection="1">
      <protection locked="0" hidden="1"/>
    </xf>
    <xf numFmtId="0" fontId="6" fillId="3" borderId="47" xfId="0" applyFont="1" applyFill="1" applyBorder="1" applyProtection="1">
      <protection locked="0" hidden="1"/>
    </xf>
    <xf numFmtId="0" fontId="6" fillId="3" borderId="48" xfId="0" applyFont="1" applyFill="1" applyBorder="1" applyProtection="1">
      <protection locked="0" hidden="1"/>
    </xf>
    <xf numFmtId="0" fontId="6" fillId="3" borderId="32" xfId="0" applyFont="1" applyFill="1" applyBorder="1" applyProtection="1">
      <protection locked="0" hidden="1"/>
    </xf>
    <xf numFmtId="0" fontId="6" fillId="3" borderId="37" xfId="0" applyFont="1" applyFill="1" applyBorder="1" applyProtection="1">
      <protection locked="0" hidden="1"/>
    </xf>
    <xf numFmtId="0" fontId="6" fillId="3" borderId="14" xfId="0" applyFont="1" applyFill="1" applyBorder="1" applyProtection="1">
      <protection locked="0" hidden="1"/>
    </xf>
    <xf numFmtId="0" fontId="6" fillId="3" borderId="49" xfId="0" applyFont="1" applyFill="1" applyBorder="1" applyProtection="1">
      <protection locked="0" hidden="1"/>
    </xf>
    <xf numFmtId="0" fontId="6" fillId="3" borderId="26" xfId="0" applyFont="1" applyFill="1" applyBorder="1" applyProtection="1">
      <protection locked="0" hidden="1"/>
    </xf>
    <xf numFmtId="0" fontId="6" fillId="3" borderId="2" xfId="0" applyFont="1" applyFill="1" applyBorder="1" applyAlignment="1" applyProtection="1">
      <alignment horizontal="right"/>
      <protection locked="0" hidden="1"/>
    </xf>
    <xf numFmtId="0" fontId="6" fillId="0" borderId="14" xfId="0" applyFont="1" applyBorder="1" applyAlignment="1" applyProtection="1">
      <alignment horizontal="center"/>
      <protection hidden="1"/>
    </xf>
    <xf numFmtId="0" fontId="0" fillId="0" borderId="0" xfId="0" applyBorder="1" applyProtection="1">
      <protection hidden="1"/>
    </xf>
    <xf numFmtId="0" fontId="0" fillId="0" borderId="0" xfId="0" applyBorder="1" applyAlignment="1" applyProtection="1">
      <alignment horizontal="center"/>
      <protection hidden="1"/>
    </xf>
    <xf numFmtId="0" fontId="6" fillId="0" borderId="28" xfId="0" applyFont="1" applyBorder="1" applyAlignment="1" applyProtection="1">
      <alignment wrapText="1"/>
      <protection hidden="1"/>
    </xf>
    <xf numFmtId="0" fontId="6" fillId="0" borderId="0" xfId="0" applyNumberFormat="1" applyFont="1" applyBorder="1" applyAlignment="1" applyProtection="1">
      <alignment horizontal="left" vertical="center" wrapText="1"/>
      <protection hidden="1"/>
    </xf>
    <xf numFmtId="0" fontId="6" fillId="0" borderId="11" xfId="0" applyFont="1" applyBorder="1" applyProtection="1">
      <protection hidden="1"/>
    </xf>
    <xf numFmtId="0" fontId="6" fillId="0" borderId="0" xfId="0" applyNumberFormat="1" applyFont="1" applyBorder="1" applyAlignment="1" applyProtection="1">
      <alignment horizontal="center" vertical="center" wrapText="1"/>
      <protection hidden="1"/>
    </xf>
    <xf numFmtId="0" fontId="8" fillId="0" borderId="0" xfId="0" applyNumberFormat="1" applyFont="1" applyBorder="1" applyAlignment="1" applyProtection="1">
      <alignment horizontal="left" vertical="center" wrapText="1"/>
      <protection hidden="1"/>
    </xf>
    <xf numFmtId="0" fontId="6" fillId="0" borderId="9" xfId="0" applyFont="1" applyBorder="1" applyProtection="1">
      <protection hidden="1"/>
    </xf>
    <xf numFmtId="0" fontId="6" fillId="0" borderId="38" xfId="0" applyFont="1" applyBorder="1" applyProtection="1">
      <protection hidden="1"/>
    </xf>
    <xf numFmtId="0" fontId="6" fillId="0" borderId="12" xfId="0" applyFont="1" applyBorder="1" applyProtection="1">
      <protection hidden="1"/>
    </xf>
    <xf numFmtId="0" fontId="6" fillId="0" borderId="12" xfId="0" applyFont="1" applyBorder="1" applyAlignment="1" applyProtection="1">
      <alignment horizontal="center"/>
      <protection hidden="1"/>
    </xf>
    <xf numFmtId="0" fontId="6" fillId="0" borderId="50" xfId="0" applyFont="1" applyBorder="1" applyAlignment="1" applyProtection="1">
      <alignment horizontal="center"/>
      <protection hidden="1"/>
    </xf>
    <xf numFmtId="0" fontId="6" fillId="0" borderId="32" xfId="0" applyFont="1" applyBorder="1" applyAlignment="1" applyProtection="1">
      <alignment horizontal="center"/>
      <protection hidden="1"/>
    </xf>
    <xf numFmtId="0" fontId="6" fillId="0" borderId="51" xfId="0" applyFont="1" applyBorder="1" applyAlignment="1" applyProtection="1">
      <alignment horizontal="center"/>
      <protection hidden="1"/>
    </xf>
    <xf numFmtId="0" fontId="6" fillId="0" borderId="41" xfId="0" applyFont="1" applyBorder="1" applyProtection="1">
      <protection hidden="1"/>
    </xf>
    <xf numFmtId="0" fontId="6" fillId="0" borderId="52" xfId="0" applyFont="1" applyBorder="1" applyProtection="1">
      <protection hidden="1"/>
    </xf>
    <xf numFmtId="0" fontId="6" fillId="0" borderId="42" xfId="0" quotePrefix="1" applyFont="1" applyBorder="1" applyProtection="1">
      <protection hidden="1"/>
    </xf>
    <xf numFmtId="0" fontId="6" fillId="0" borderId="43" xfId="0" quotePrefix="1" applyFont="1" applyBorder="1" applyProtection="1">
      <protection hidden="1"/>
    </xf>
    <xf numFmtId="2" fontId="6" fillId="0" borderId="30" xfId="0" quotePrefix="1" applyNumberFormat="1" applyFont="1" applyBorder="1" applyProtection="1">
      <protection hidden="1"/>
    </xf>
    <xf numFmtId="0" fontId="6" fillId="0" borderId="43" xfId="0" applyFont="1" applyBorder="1" applyProtection="1">
      <protection hidden="1"/>
    </xf>
    <xf numFmtId="0" fontId="6" fillId="0" borderId="44" xfId="0" applyFont="1" applyBorder="1" applyProtection="1">
      <protection hidden="1"/>
    </xf>
    <xf numFmtId="2" fontId="6" fillId="0" borderId="43" xfId="0" applyNumberFormat="1" applyFont="1" applyBorder="1" applyProtection="1">
      <protection hidden="1"/>
    </xf>
    <xf numFmtId="2" fontId="6" fillId="0" borderId="44" xfId="0" applyNumberFormat="1" applyFont="1" applyBorder="1" applyProtection="1">
      <protection hidden="1"/>
    </xf>
    <xf numFmtId="0" fontId="6" fillId="0" borderId="21" xfId="0" applyFont="1" applyBorder="1" applyProtection="1">
      <protection hidden="1"/>
    </xf>
    <xf numFmtId="0" fontId="6" fillId="0" borderId="25" xfId="0" applyFont="1" applyBorder="1" applyProtection="1">
      <protection hidden="1"/>
    </xf>
    <xf numFmtId="0" fontId="6" fillId="0" borderId="45" xfId="0" quotePrefix="1" applyFont="1" applyBorder="1" applyProtection="1">
      <protection hidden="1"/>
    </xf>
    <xf numFmtId="0" fontId="6" fillId="0" borderId="1" xfId="0" quotePrefix="1" applyFont="1" applyBorder="1" applyProtection="1">
      <protection hidden="1"/>
    </xf>
    <xf numFmtId="2" fontId="6" fillId="0" borderId="1" xfId="0" quotePrefix="1" applyNumberFormat="1" applyFont="1" applyBorder="1" applyProtection="1">
      <protection hidden="1"/>
    </xf>
    <xf numFmtId="0" fontId="6" fillId="0" borderId="46" xfId="0" applyFont="1" applyBorder="1" applyProtection="1">
      <protection hidden="1"/>
    </xf>
    <xf numFmtId="2" fontId="6" fillId="0" borderId="1" xfId="0" applyNumberFormat="1" applyFont="1" applyBorder="1" applyProtection="1">
      <protection hidden="1"/>
    </xf>
    <xf numFmtId="2" fontId="6" fillId="0" borderId="46" xfId="0" applyNumberFormat="1" applyFont="1" applyBorder="1" applyProtection="1">
      <protection hidden="1"/>
    </xf>
    <xf numFmtId="2" fontId="6" fillId="0" borderId="28" xfId="0" quotePrefix="1" applyNumberFormat="1" applyFont="1" applyBorder="1" applyProtection="1">
      <protection hidden="1"/>
    </xf>
    <xf numFmtId="0" fontId="6" fillId="0" borderId="16" xfId="0" applyFont="1" applyBorder="1" applyProtection="1">
      <protection hidden="1"/>
    </xf>
    <xf numFmtId="0" fontId="6" fillId="0" borderId="53" xfId="0" applyFont="1" applyBorder="1" applyProtection="1">
      <protection hidden="1"/>
    </xf>
    <xf numFmtId="0" fontId="6" fillId="0" borderId="37" xfId="0" quotePrefix="1" applyFont="1" applyBorder="1" applyProtection="1">
      <protection hidden="1"/>
    </xf>
    <xf numFmtId="0" fontId="6" fillId="0" borderId="14" xfId="0" quotePrefix="1" applyFont="1" applyBorder="1" applyProtection="1">
      <protection hidden="1"/>
    </xf>
    <xf numFmtId="2" fontId="6" fillId="0" borderId="14" xfId="0" quotePrefix="1" applyNumberFormat="1" applyFont="1" applyBorder="1" applyProtection="1">
      <protection hidden="1"/>
    </xf>
    <xf numFmtId="0" fontId="6" fillId="0" borderId="49" xfId="0" applyFont="1" applyBorder="1" applyProtection="1">
      <protection hidden="1"/>
    </xf>
    <xf numFmtId="2" fontId="6" fillId="0" borderId="14" xfId="0" applyNumberFormat="1" applyFont="1" applyBorder="1" applyProtection="1">
      <protection hidden="1"/>
    </xf>
    <xf numFmtId="0" fontId="6" fillId="0" borderId="42" xfId="0" applyFont="1" applyBorder="1" applyProtection="1">
      <protection hidden="1"/>
    </xf>
    <xf numFmtId="0" fontId="6" fillId="0" borderId="45" xfId="0" applyFont="1" applyBorder="1" applyProtection="1">
      <protection hidden="1"/>
    </xf>
    <xf numFmtId="0" fontId="6" fillId="0" borderId="37" xfId="0" applyFont="1" applyBorder="1" applyProtection="1">
      <protection hidden="1"/>
    </xf>
    <xf numFmtId="0" fontId="6" fillId="0" borderId="33" xfId="0" quotePrefix="1" applyFont="1" applyBorder="1" applyProtection="1">
      <protection hidden="1"/>
    </xf>
    <xf numFmtId="0" fontId="6" fillId="0" borderId="22" xfId="0" quotePrefix="1" applyFont="1" applyBorder="1" applyProtection="1">
      <protection hidden="1"/>
    </xf>
    <xf numFmtId="0" fontId="6" fillId="0" borderId="24" xfId="0" quotePrefix="1" applyFont="1" applyBorder="1" applyProtection="1">
      <protection hidden="1"/>
    </xf>
    <xf numFmtId="0" fontId="6" fillId="3" borderId="26" xfId="0" applyFont="1" applyFill="1" applyBorder="1" applyProtection="1">
      <protection hidden="1"/>
    </xf>
    <xf numFmtId="0" fontId="6" fillId="3" borderId="5" xfId="0" applyFont="1" applyFill="1" applyBorder="1" applyProtection="1">
      <protection hidden="1"/>
    </xf>
    <xf numFmtId="0" fontId="6" fillId="3" borderId="6" xfId="0" applyFont="1" applyFill="1" applyBorder="1" applyProtection="1">
      <protection hidden="1"/>
    </xf>
    <xf numFmtId="2" fontId="6" fillId="0" borderId="26" xfId="0" applyNumberFormat="1" applyFont="1" applyBorder="1" applyProtection="1">
      <protection hidden="1"/>
    </xf>
    <xf numFmtId="0" fontId="6" fillId="3" borderId="36" xfId="0" applyFont="1" applyFill="1" applyBorder="1" applyProtection="1">
      <protection hidden="1"/>
    </xf>
    <xf numFmtId="0" fontId="6" fillId="3" borderId="39" xfId="0" applyFont="1" applyFill="1" applyBorder="1" applyProtection="1">
      <protection hidden="1"/>
    </xf>
    <xf numFmtId="168" fontId="6" fillId="0" borderId="0" xfId="0" applyNumberFormat="1" applyFont="1" applyFill="1" applyProtection="1">
      <protection hidden="1"/>
    </xf>
    <xf numFmtId="0" fontId="6" fillId="0" borderId="54" xfId="0" applyFont="1" applyBorder="1" applyAlignment="1" applyProtection="1">
      <alignment horizontal="center"/>
      <protection hidden="1"/>
    </xf>
    <xf numFmtId="0" fontId="6" fillId="0" borderId="48" xfId="0" applyFont="1" applyBorder="1" applyAlignment="1" applyProtection="1">
      <alignment horizontal="center"/>
      <protection hidden="1"/>
    </xf>
    <xf numFmtId="0" fontId="6" fillId="0" borderId="30" xfId="0" quotePrefix="1" applyFont="1" applyBorder="1" applyProtection="1">
      <protection hidden="1"/>
    </xf>
    <xf numFmtId="2" fontId="6" fillId="0" borderId="30" xfId="0" applyNumberFormat="1" applyFont="1" applyBorder="1" applyProtection="1">
      <protection hidden="1"/>
    </xf>
    <xf numFmtId="0" fontId="6" fillId="0" borderId="34" xfId="0" applyFont="1" applyBorder="1" applyProtection="1">
      <protection hidden="1"/>
    </xf>
    <xf numFmtId="0" fontId="6" fillId="0" borderId="55" xfId="0" quotePrefix="1" applyFont="1" applyBorder="1" applyProtection="1">
      <protection hidden="1"/>
    </xf>
    <xf numFmtId="0" fontId="6" fillId="0" borderId="28" xfId="0" quotePrefix="1" applyFont="1" applyBorder="1" applyProtection="1">
      <protection hidden="1"/>
    </xf>
    <xf numFmtId="2" fontId="6" fillId="0" borderId="28" xfId="0" applyNumberFormat="1" applyFont="1" applyBorder="1" applyProtection="1">
      <protection hidden="1"/>
    </xf>
    <xf numFmtId="0" fontId="6" fillId="0" borderId="34" xfId="0" quotePrefix="1" applyFont="1" applyBorder="1" applyProtection="1">
      <protection hidden="1"/>
    </xf>
    <xf numFmtId="0" fontId="6" fillId="0" borderId="48" xfId="0" quotePrefix="1" applyFont="1" applyBorder="1" applyProtection="1">
      <protection hidden="1"/>
    </xf>
    <xf numFmtId="2" fontId="6" fillId="0" borderId="29" xfId="0" applyNumberFormat="1" applyFont="1" applyBorder="1" applyProtection="1">
      <protection hidden="1"/>
    </xf>
    <xf numFmtId="0" fontId="6" fillId="0" borderId="54" xfId="0" applyFont="1" applyBorder="1" applyProtection="1">
      <protection hidden="1"/>
    </xf>
    <xf numFmtId="0" fontId="6" fillId="0" borderId="15" xfId="0" applyFont="1" applyBorder="1" applyProtection="1">
      <protection hidden="1"/>
    </xf>
    <xf numFmtId="0" fontId="6" fillId="3" borderId="35" xfId="0" applyFont="1" applyFill="1" applyBorder="1" applyProtection="1">
      <protection hidden="1"/>
    </xf>
    <xf numFmtId="0" fontId="6" fillId="3" borderId="19" xfId="0" applyFont="1" applyFill="1" applyBorder="1" applyProtection="1">
      <protection hidden="1"/>
    </xf>
    <xf numFmtId="0" fontId="6" fillId="3" borderId="5" xfId="0" quotePrefix="1" applyFont="1" applyFill="1" applyBorder="1" applyProtection="1">
      <protection hidden="1"/>
    </xf>
    <xf numFmtId="0" fontId="6" fillId="3" borderId="6" xfId="0" quotePrefix="1" applyFont="1" applyFill="1" applyBorder="1" applyProtection="1">
      <protection hidden="1"/>
    </xf>
    <xf numFmtId="0" fontId="6" fillId="3" borderId="56" xfId="0" quotePrefix="1" applyFont="1" applyFill="1" applyBorder="1" applyProtection="1">
      <protection hidden="1"/>
    </xf>
    <xf numFmtId="0" fontId="6" fillId="3" borderId="57" xfId="0" quotePrefix="1" applyFont="1" applyFill="1" applyBorder="1" applyProtection="1">
      <protection hidden="1"/>
    </xf>
    <xf numFmtId="0" fontId="6" fillId="3" borderId="58" xfId="0" applyFont="1" applyFill="1" applyBorder="1" applyProtection="1">
      <protection hidden="1"/>
    </xf>
    <xf numFmtId="0" fontId="6" fillId="3" borderId="57" xfId="0" applyFont="1" applyFill="1" applyBorder="1" applyProtection="1">
      <protection hidden="1"/>
    </xf>
    <xf numFmtId="168" fontId="6" fillId="3" borderId="0" xfId="0" applyNumberFormat="1" applyFont="1" applyFill="1" applyProtection="1">
      <protection hidden="1"/>
    </xf>
    <xf numFmtId="170" fontId="6" fillId="0" borderId="0" xfId="0" applyNumberFormat="1" applyFont="1" applyProtection="1">
      <protection hidden="1"/>
    </xf>
    <xf numFmtId="0" fontId="6" fillId="0" borderId="1" xfId="0" applyNumberFormat="1" applyFont="1" applyBorder="1" applyProtection="1">
      <protection hidden="1"/>
    </xf>
    <xf numFmtId="165" fontId="6" fillId="0" borderId="1" xfId="0" applyNumberFormat="1" applyFont="1" applyBorder="1" applyProtection="1">
      <protection hidden="1"/>
    </xf>
    <xf numFmtId="0" fontId="21" fillId="0" borderId="1" xfId="0" applyFont="1" applyBorder="1" applyAlignment="1" applyProtection="1">
      <alignment horizontal="center"/>
      <protection hidden="1"/>
    </xf>
    <xf numFmtId="0" fontId="6" fillId="3" borderId="0" xfId="0" applyFont="1" applyFill="1" applyProtection="1">
      <protection hidden="1"/>
    </xf>
    <xf numFmtId="169" fontId="6" fillId="0" borderId="0" xfId="0" applyNumberFormat="1" applyFont="1" applyFill="1" applyProtection="1">
      <protection hidden="1"/>
    </xf>
    <xf numFmtId="1" fontId="6" fillId="0" borderId="0" xfId="0" applyNumberFormat="1" applyFont="1" applyFill="1" applyProtection="1">
      <protection hidden="1"/>
    </xf>
    <xf numFmtId="0" fontId="6" fillId="0" borderId="0" xfId="0" applyFont="1" applyBorder="1" applyAlignment="1" applyProtection="1">
      <alignment horizontal="center" vertical="center"/>
      <protection hidden="1"/>
    </xf>
    <xf numFmtId="0" fontId="25" fillId="0" borderId="0" xfId="0" applyFont="1"/>
    <xf numFmtId="0" fontId="6" fillId="0" borderId="0" xfId="0" applyFont="1" applyAlignment="1">
      <alignment wrapText="1"/>
    </xf>
    <xf numFmtId="0" fontId="8" fillId="0" borderId="1" xfId="0" applyNumberFormat="1" applyFont="1" applyBorder="1" applyProtection="1">
      <protection hidden="1"/>
    </xf>
    <xf numFmtId="0" fontId="6" fillId="0" borderId="1" xfId="0" applyFont="1" applyFill="1" applyBorder="1" applyProtection="1">
      <protection hidden="1"/>
    </xf>
    <xf numFmtId="0" fontId="8" fillId="0" borderId="2" xfId="0" applyFont="1" applyBorder="1" applyAlignment="1" applyProtection="1">
      <alignment horizontal="center" vertical="center" wrapText="1"/>
      <protection hidden="1"/>
    </xf>
    <xf numFmtId="0" fontId="6" fillId="0" borderId="10" xfId="0" applyFont="1" applyBorder="1" applyProtection="1">
      <protection hidden="1"/>
    </xf>
    <xf numFmtId="0" fontId="17" fillId="0" borderId="0" xfId="0" applyFont="1" applyBorder="1" applyProtection="1">
      <protection hidden="1"/>
    </xf>
    <xf numFmtId="0" fontId="9" fillId="3" borderId="2" xfId="0" applyFont="1" applyFill="1" applyBorder="1" applyProtection="1">
      <protection locked="0" hidden="1"/>
    </xf>
    <xf numFmtId="0" fontId="11" fillId="0" borderId="0" xfId="0" applyFont="1" applyBorder="1" applyAlignment="1" applyProtection="1">
      <alignment horizontal="justify" vertical="center" wrapText="1"/>
      <protection hidden="1"/>
    </xf>
    <xf numFmtId="0" fontId="27" fillId="0" borderId="0" xfId="0" applyFont="1" applyProtection="1">
      <protection hidden="1"/>
    </xf>
    <xf numFmtId="0" fontId="6" fillId="0" borderId="0" xfId="0" applyFont="1" applyAlignment="1" applyProtection="1">
      <alignment horizontal="left"/>
      <protection hidden="1"/>
    </xf>
    <xf numFmtId="0" fontId="25" fillId="0" borderId="0" xfId="0" applyFont="1" applyProtection="1">
      <protection hidden="1"/>
    </xf>
    <xf numFmtId="0" fontId="7" fillId="0" borderId="0" xfId="0" applyFont="1" applyProtection="1">
      <protection hidden="1"/>
    </xf>
    <xf numFmtId="0" fontId="6" fillId="0" borderId="0" xfId="0" applyFont="1" applyAlignment="1" applyProtection="1">
      <alignment vertical="top" wrapText="1"/>
      <protection hidden="1"/>
    </xf>
    <xf numFmtId="0" fontId="18" fillId="5" borderId="2" xfId="0" applyFont="1" applyFill="1" applyBorder="1" applyProtection="1">
      <protection hidden="1"/>
    </xf>
    <xf numFmtId="0" fontId="18" fillId="5" borderId="2" xfId="0" applyFont="1" applyFill="1" applyBorder="1" applyAlignment="1" applyProtection="1">
      <alignment horizontal="center"/>
      <protection hidden="1"/>
    </xf>
    <xf numFmtId="0" fontId="8" fillId="0" borderId="34" xfId="0" applyFont="1" applyBorder="1" applyProtection="1">
      <protection hidden="1"/>
    </xf>
    <xf numFmtId="0" fontId="8" fillId="0" borderId="33" xfId="0" applyFont="1" applyBorder="1" applyProtection="1">
      <protection hidden="1"/>
    </xf>
    <xf numFmtId="0" fontId="8" fillId="0" borderId="31" xfId="0" applyFont="1" applyBorder="1" applyAlignment="1" applyProtection="1">
      <alignment horizontal="center"/>
      <protection hidden="1"/>
    </xf>
    <xf numFmtId="0" fontId="8" fillId="0" borderId="28" xfId="0" applyFont="1" applyBorder="1" applyAlignment="1" applyProtection="1">
      <alignment horizontal="center"/>
      <protection hidden="1"/>
    </xf>
    <xf numFmtId="0" fontId="0" fillId="3" borderId="28" xfId="0" applyFill="1" applyBorder="1" applyProtection="1">
      <protection locked="0" hidden="1"/>
    </xf>
    <xf numFmtId="0" fontId="0" fillId="3" borderId="1" xfId="0" applyFill="1" applyBorder="1" applyProtection="1">
      <protection locked="0" hidden="1"/>
    </xf>
    <xf numFmtId="0" fontId="0" fillId="3" borderId="22" xfId="0" applyFill="1" applyBorder="1" applyProtection="1">
      <protection locked="0" hidden="1"/>
    </xf>
    <xf numFmtId="0" fontId="0" fillId="3" borderId="1" xfId="0" applyFill="1" applyBorder="1" applyAlignment="1" applyProtection="1">
      <alignment horizontal="center"/>
      <protection locked="0" hidden="1"/>
    </xf>
    <xf numFmtId="0" fontId="8" fillId="3" borderId="2" xfId="0" applyFont="1" applyFill="1" applyBorder="1" applyProtection="1">
      <protection locked="0" hidden="1"/>
    </xf>
    <xf numFmtId="167" fontId="6" fillId="0" borderId="1" xfId="0" applyNumberFormat="1" applyFont="1" applyBorder="1" applyAlignment="1" applyProtection="1">
      <alignment horizontal="center"/>
      <protection hidden="1"/>
    </xf>
    <xf numFmtId="0" fontId="6" fillId="0" borderId="59" xfId="0" applyFont="1" applyBorder="1" applyProtection="1">
      <protection hidden="1"/>
    </xf>
    <xf numFmtId="0" fontId="6" fillId="0" borderId="60" xfId="0" applyFont="1" applyBorder="1" applyProtection="1">
      <protection hidden="1"/>
    </xf>
    <xf numFmtId="0" fontId="6" fillId="0" borderId="32" xfId="0" quotePrefix="1" applyFont="1" applyBorder="1" applyProtection="1">
      <protection hidden="1"/>
    </xf>
    <xf numFmtId="0" fontId="6" fillId="0" borderId="32" xfId="0" applyFont="1" applyBorder="1" applyProtection="1">
      <protection hidden="1"/>
    </xf>
    <xf numFmtId="0" fontId="6" fillId="0" borderId="51" xfId="0" applyFont="1" applyBorder="1" applyProtection="1">
      <protection hidden="1"/>
    </xf>
    <xf numFmtId="0" fontId="6" fillId="0" borderId="50" xfId="0" applyFont="1" applyBorder="1" applyProtection="1">
      <protection hidden="1"/>
    </xf>
    <xf numFmtId="2" fontId="6" fillId="0" borderId="32" xfId="0" applyNumberFormat="1" applyFont="1" applyBorder="1" applyProtection="1">
      <protection hidden="1"/>
    </xf>
    <xf numFmtId="0" fontId="6" fillId="0" borderId="48" xfId="0" applyFont="1" applyBorder="1" applyProtection="1">
      <protection hidden="1"/>
    </xf>
    <xf numFmtId="2" fontId="6" fillId="0" borderId="33" xfId="0" applyNumberFormat="1" applyFont="1" applyBorder="1" applyProtection="1">
      <protection hidden="1"/>
    </xf>
    <xf numFmtId="2" fontId="6" fillId="0" borderId="50" xfId="0" applyNumberFormat="1" applyFont="1" applyBorder="1" applyProtection="1">
      <protection hidden="1"/>
    </xf>
    <xf numFmtId="0" fontId="6" fillId="0" borderId="61" xfId="0" applyFont="1" applyBorder="1" applyProtection="1">
      <protection hidden="1"/>
    </xf>
    <xf numFmtId="0" fontId="6" fillId="0" borderId="20" xfId="0" applyFont="1" applyBorder="1" applyProtection="1">
      <protection hidden="1"/>
    </xf>
    <xf numFmtId="0" fontId="6" fillId="0" borderId="62" xfId="0" applyFont="1" applyBorder="1" applyProtection="1">
      <protection hidden="1"/>
    </xf>
    <xf numFmtId="0" fontId="6" fillId="0" borderId="23" xfId="0" applyFont="1" applyBorder="1" applyProtection="1">
      <protection hidden="1"/>
    </xf>
    <xf numFmtId="0" fontId="6" fillId="0" borderId="63" xfId="0" applyFont="1" applyBorder="1" applyProtection="1">
      <protection hidden="1"/>
    </xf>
    <xf numFmtId="0" fontId="6" fillId="0" borderId="64" xfId="0" applyFont="1" applyBorder="1" applyProtection="1">
      <protection hidden="1"/>
    </xf>
    <xf numFmtId="0" fontId="6" fillId="0" borderId="47" xfId="0" applyFont="1" applyBorder="1" applyProtection="1">
      <protection hidden="1"/>
    </xf>
    <xf numFmtId="168" fontId="6" fillId="0" borderId="28" xfId="0" applyNumberFormat="1" applyFont="1" applyBorder="1" applyProtection="1">
      <protection hidden="1"/>
    </xf>
    <xf numFmtId="0" fontId="6" fillId="0" borderId="31" xfId="0" quotePrefix="1" applyFont="1" applyBorder="1" applyProtection="1">
      <protection hidden="1"/>
    </xf>
    <xf numFmtId="2" fontId="6" fillId="0" borderId="61" xfId="0" applyNumberFormat="1" applyFont="1" applyBorder="1" applyProtection="1">
      <protection hidden="1"/>
    </xf>
    <xf numFmtId="2" fontId="6" fillId="0" borderId="20" xfId="0" applyNumberFormat="1" applyFont="1" applyBorder="1" applyProtection="1">
      <protection hidden="1"/>
    </xf>
    <xf numFmtId="2" fontId="6" fillId="0" borderId="23" xfId="0" applyNumberFormat="1" applyFont="1" applyBorder="1" applyProtection="1">
      <protection hidden="1"/>
    </xf>
    <xf numFmtId="2" fontId="6" fillId="0" borderId="49" xfId="0" applyNumberFormat="1" applyFont="1" applyBorder="1" applyProtection="1">
      <protection hidden="1"/>
    </xf>
    <xf numFmtId="0" fontId="6" fillId="7" borderId="20" xfId="0" applyFont="1" applyFill="1" applyBorder="1" applyProtection="1">
      <protection hidden="1"/>
    </xf>
    <xf numFmtId="0" fontId="6" fillId="7" borderId="23" xfId="0" applyFont="1" applyFill="1" applyBorder="1" applyProtection="1">
      <protection hidden="1"/>
    </xf>
    <xf numFmtId="0" fontId="6" fillId="7" borderId="60" xfId="0" applyFont="1" applyFill="1" applyBorder="1" applyProtection="1">
      <protection hidden="1"/>
    </xf>
    <xf numFmtId="0" fontId="6" fillId="7" borderId="53" xfId="0" applyFont="1" applyFill="1" applyBorder="1" applyProtection="1">
      <protection hidden="1"/>
    </xf>
    <xf numFmtId="2" fontId="6" fillId="0" borderId="51" xfId="0" applyNumberFormat="1" applyFont="1" applyBorder="1" applyProtection="1">
      <protection hidden="1"/>
    </xf>
    <xf numFmtId="0" fontId="6" fillId="0" borderId="50" xfId="0" quotePrefix="1" applyFont="1" applyBorder="1" applyProtection="1">
      <protection hidden="1"/>
    </xf>
    <xf numFmtId="168" fontId="6" fillId="0" borderId="45" xfId="0" quotePrefix="1" applyNumberFormat="1" applyFont="1" applyBorder="1" applyProtection="1">
      <protection hidden="1"/>
    </xf>
    <xf numFmtId="168" fontId="6" fillId="0" borderId="1" xfId="0" quotePrefix="1" applyNumberFormat="1" applyFont="1" applyBorder="1" applyProtection="1">
      <protection hidden="1"/>
    </xf>
    <xf numFmtId="168" fontId="6" fillId="0" borderId="50" xfId="0" quotePrefix="1" applyNumberFormat="1" applyFont="1" applyBorder="1" applyProtection="1">
      <protection hidden="1"/>
    </xf>
    <xf numFmtId="168" fontId="6" fillId="0" borderId="32" xfId="0" quotePrefix="1" applyNumberFormat="1" applyFont="1" applyBorder="1" applyProtection="1">
      <protection hidden="1"/>
    </xf>
    <xf numFmtId="168" fontId="6" fillId="0" borderId="48" xfId="0" applyNumberFormat="1" applyFont="1" applyBorder="1" applyProtection="1">
      <protection hidden="1"/>
    </xf>
    <xf numFmtId="168" fontId="6" fillId="0" borderId="32" xfId="0" applyNumberFormat="1" applyFont="1" applyBorder="1" applyProtection="1">
      <protection hidden="1"/>
    </xf>
    <xf numFmtId="0" fontId="6" fillId="0" borderId="51" xfId="0" applyNumberFormat="1" applyFont="1" applyBorder="1" applyProtection="1">
      <protection hidden="1"/>
    </xf>
    <xf numFmtId="0" fontId="6" fillId="0" borderId="49" xfId="0" applyNumberFormat="1" applyFont="1" applyBorder="1" applyProtection="1">
      <protection hidden="1"/>
    </xf>
    <xf numFmtId="168" fontId="6" fillId="0" borderId="1" xfId="0" applyNumberFormat="1" applyFont="1" applyBorder="1" applyProtection="1">
      <protection hidden="1"/>
    </xf>
    <xf numFmtId="168" fontId="6" fillId="0" borderId="14" xfId="0" applyNumberFormat="1" applyFont="1" applyBorder="1" applyProtection="1">
      <protection hidden="1"/>
    </xf>
    <xf numFmtId="0" fontId="0" fillId="0" borderId="0" xfId="0" applyAlignment="1">
      <alignment horizontal="left" indent="15"/>
    </xf>
    <xf numFmtId="0" fontId="6" fillId="5" borderId="34" xfId="0" applyFont="1" applyFill="1" applyBorder="1" applyAlignment="1" applyProtection="1">
      <alignment horizontal="center"/>
      <protection hidden="1"/>
    </xf>
    <xf numFmtId="168" fontId="6" fillId="0" borderId="1" xfId="0" applyNumberFormat="1" applyFont="1" applyBorder="1" applyAlignment="1" applyProtection="1">
      <alignment horizontal="center"/>
      <protection hidden="1"/>
    </xf>
    <xf numFmtId="0" fontId="22" fillId="0" borderId="2" xfId="0" applyFont="1" applyBorder="1" applyAlignment="1" applyProtection="1">
      <alignment horizontal="center" wrapText="1"/>
      <protection hidden="1"/>
    </xf>
    <xf numFmtId="0" fontId="6" fillId="0" borderId="2" xfId="0" applyFont="1" applyBorder="1" applyAlignment="1" applyProtection="1">
      <alignment wrapText="1"/>
      <protection hidden="1"/>
    </xf>
    <xf numFmtId="0" fontId="6" fillId="0" borderId="2" xfId="0" applyFont="1" applyBorder="1" applyAlignment="1" applyProtection="1">
      <alignment horizontal="center" wrapText="1"/>
      <protection hidden="1"/>
    </xf>
    <xf numFmtId="0" fontId="6" fillId="0" borderId="2" xfId="0" applyFont="1" applyFill="1" applyBorder="1" applyAlignment="1" applyProtection="1">
      <alignment horizontal="center" wrapText="1"/>
      <protection hidden="1"/>
    </xf>
    <xf numFmtId="1" fontId="6" fillId="0" borderId="0" xfId="0" applyNumberFormat="1" applyFont="1" applyAlignment="1" applyProtection="1">
      <alignment horizontal="right"/>
      <protection hidden="1"/>
    </xf>
    <xf numFmtId="0" fontId="6" fillId="3" borderId="36" xfId="0" applyFont="1" applyFill="1" applyBorder="1" applyProtection="1">
      <protection locked="0"/>
    </xf>
    <xf numFmtId="0" fontId="13" fillId="6" borderId="20" xfId="0" applyFont="1" applyFill="1" applyBorder="1" applyAlignment="1" applyProtection="1">
      <alignment horizontal="center"/>
      <protection hidden="1"/>
    </xf>
    <xf numFmtId="0" fontId="13" fillId="6" borderId="3" xfId="0" applyFont="1" applyFill="1" applyBorder="1" applyAlignment="1" applyProtection="1">
      <alignment horizontal="center"/>
      <protection hidden="1"/>
    </xf>
    <xf numFmtId="0" fontId="6" fillId="0" borderId="65" xfId="0" applyFont="1" applyBorder="1" applyProtection="1">
      <protection hidden="1"/>
    </xf>
    <xf numFmtId="0" fontId="6" fillId="0" borderId="66" xfId="0" applyFont="1" applyBorder="1" applyProtection="1">
      <protection hidden="1"/>
    </xf>
    <xf numFmtId="0" fontId="6" fillId="0" borderId="67" xfId="0" applyFont="1" applyBorder="1" applyAlignment="1" applyProtection="1">
      <alignment horizontal="center"/>
      <protection hidden="1"/>
    </xf>
    <xf numFmtId="0" fontId="6" fillId="0" borderId="11" xfId="0" applyFont="1" applyBorder="1" applyAlignment="1" applyProtection="1">
      <alignment horizontal="center"/>
      <protection hidden="1"/>
    </xf>
    <xf numFmtId="0" fontId="6" fillId="5" borderId="68" xfId="0" applyFont="1" applyFill="1" applyBorder="1" applyProtection="1">
      <protection hidden="1"/>
    </xf>
    <xf numFmtId="0" fontId="6" fillId="5" borderId="0" xfId="0" applyFont="1" applyFill="1" applyBorder="1" applyProtection="1">
      <protection hidden="1"/>
    </xf>
    <xf numFmtId="0" fontId="6" fillId="0" borderId="68" xfId="0" applyFont="1" applyBorder="1" applyProtection="1">
      <protection hidden="1"/>
    </xf>
    <xf numFmtId="0" fontId="6" fillId="5" borderId="0" xfId="0" applyFont="1" applyFill="1" applyBorder="1" applyAlignment="1" applyProtection="1">
      <alignment horizontal="center"/>
      <protection hidden="1"/>
    </xf>
    <xf numFmtId="0" fontId="6" fillId="0" borderId="69" xfId="0" applyFont="1" applyBorder="1" applyProtection="1">
      <protection hidden="1"/>
    </xf>
    <xf numFmtId="0" fontId="6" fillId="0" borderId="70" xfId="0" applyFont="1" applyBorder="1" applyProtection="1">
      <protection hidden="1"/>
    </xf>
    <xf numFmtId="2" fontId="6" fillId="0" borderId="70" xfId="0" applyNumberFormat="1" applyFont="1" applyBorder="1" applyProtection="1">
      <protection hidden="1"/>
    </xf>
    <xf numFmtId="0" fontId="8" fillId="0" borderId="65" xfId="0" applyFont="1" applyBorder="1" applyProtection="1">
      <protection hidden="1"/>
    </xf>
    <xf numFmtId="0" fontId="6" fillId="0" borderId="31" xfId="0" applyFont="1" applyBorder="1" applyProtection="1">
      <protection hidden="1"/>
    </xf>
    <xf numFmtId="0" fontId="6" fillId="5" borderId="70" xfId="0" applyFont="1" applyFill="1" applyBorder="1" applyProtection="1">
      <protection hidden="1"/>
    </xf>
    <xf numFmtId="168" fontId="6" fillId="0" borderId="68" xfId="0" applyNumberFormat="1" applyFont="1" applyBorder="1" applyProtection="1">
      <protection hidden="1"/>
    </xf>
    <xf numFmtId="168" fontId="6" fillId="0" borderId="65" xfId="0" applyNumberFormat="1" applyFont="1" applyBorder="1" applyProtection="1">
      <protection hidden="1"/>
    </xf>
    <xf numFmtId="165" fontId="6" fillId="0" borderId="68" xfId="0" applyNumberFormat="1" applyFont="1" applyBorder="1" applyProtection="1">
      <protection hidden="1"/>
    </xf>
    <xf numFmtId="0" fontId="6" fillId="0" borderId="30" xfId="0" applyFont="1" applyFill="1" applyBorder="1" applyAlignment="1" applyProtection="1">
      <alignment horizontal="center"/>
      <protection hidden="1"/>
    </xf>
    <xf numFmtId="0" fontId="6" fillId="0" borderId="29" xfId="0" applyFont="1" applyFill="1" applyBorder="1" applyProtection="1">
      <protection hidden="1"/>
    </xf>
    <xf numFmtId="0" fontId="6" fillId="0" borderId="28" xfId="0" applyFont="1" applyFill="1" applyBorder="1" applyProtection="1">
      <protection hidden="1"/>
    </xf>
    <xf numFmtId="0" fontId="6" fillId="5" borderId="29" xfId="0" applyFont="1" applyFill="1" applyBorder="1" applyProtection="1">
      <protection hidden="1"/>
    </xf>
    <xf numFmtId="0" fontId="6" fillId="0" borderId="29" xfId="0" applyFont="1" applyBorder="1" applyAlignment="1" applyProtection="1">
      <alignment horizontal="center"/>
      <protection hidden="1"/>
    </xf>
    <xf numFmtId="0" fontId="6" fillId="5" borderId="29" xfId="0" applyFont="1" applyFill="1" applyBorder="1" applyAlignment="1" applyProtection="1">
      <alignment horizontal="center"/>
      <protection hidden="1"/>
    </xf>
    <xf numFmtId="168" fontId="6" fillId="0" borderId="27" xfId="0" applyNumberFormat="1" applyFont="1" applyBorder="1" applyProtection="1">
      <protection hidden="1"/>
    </xf>
    <xf numFmtId="2" fontId="6" fillId="0" borderId="27" xfId="0" applyNumberFormat="1" applyFont="1" applyFill="1" applyBorder="1" applyAlignment="1" applyProtection="1">
      <alignment horizontal="center"/>
      <protection hidden="1"/>
    </xf>
    <xf numFmtId="165" fontId="6" fillId="0" borderId="27" xfId="0" applyNumberFormat="1" applyFont="1" applyBorder="1" applyProtection="1">
      <protection hidden="1"/>
    </xf>
    <xf numFmtId="168" fontId="6" fillId="0" borderId="1" xfId="0" applyNumberFormat="1" applyFont="1" applyFill="1" applyBorder="1" applyProtection="1">
      <protection hidden="1"/>
    </xf>
    <xf numFmtId="167" fontId="6" fillId="0" borderId="3" xfId="0" applyNumberFormat="1" applyFont="1" applyBorder="1" applyProtection="1">
      <protection hidden="1"/>
    </xf>
    <xf numFmtId="2" fontId="6" fillId="0" borderId="1" xfId="0" applyNumberFormat="1" applyFont="1" applyBorder="1" applyAlignment="1" applyProtection="1">
      <alignment horizontal="center"/>
      <protection hidden="1"/>
    </xf>
    <xf numFmtId="1" fontId="6" fillId="0" borderId="1" xfId="0" applyNumberFormat="1" applyFont="1" applyBorder="1" applyAlignment="1" applyProtection="1">
      <alignment horizontal="center"/>
      <protection hidden="1"/>
    </xf>
    <xf numFmtId="1" fontId="6" fillId="0" borderId="3" xfId="0" applyNumberFormat="1" applyFont="1" applyBorder="1" applyAlignment="1" applyProtection="1">
      <alignment horizontal="center"/>
      <protection hidden="1"/>
    </xf>
    <xf numFmtId="165" fontId="6" fillId="0" borderId="22" xfId="0" applyNumberFormat="1" applyFont="1" applyBorder="1" applyProtection="1">
      <protection hidden="1"/>
    </xf>
    <xf numFmtId="2" fontId="6" fillId="0" borderId="1" xfId="0" applyNumberFormat="1" applyFont="1" applyFill="1" applyBorder="1" applyAlignment="1" applyProtection="1">
      <alignment horizontal="center"/>
      <protection hidden="1"/>
    </xf>
    <xf numFmtId="167" fontId="6" fillId="0" borderId="1" xfId="0" applyNumberFormat="1" applyFont="1" applyBorder="1" applyProtection="1">
      <protection hidden="1"/>
    </xf>
    <xf numFmtId="0" fontId="6" fillId="5" borderId="1" xfId="0" applyFont="1" applyFill="1" applyBorder="1" applyProtection="1">
      <protection hidden="1"/>
    </xf>
    <xf numFmtId="0" fontId="7" fillId="0" borderId="36" xfId="0" applyFont="1" applyBorder="1" applyAlignment="1" applyProtection="1">
      <alignment horizontal="center" wrapText="1"/>
      <protection hidden="1"/>
    </xf>
    <xf numFmtId="0" fontId="30" fillId="0" borderId="6" xfId="0" applyFont="1" applyBorder="1" applyAlignment="1" applyProtection="1">
      <alignment horizontal="center" wrapText="1"/>
      <protection hidden="1"/>
    </xf>
    <xf numFmtId="0" fontId="7" fillId="0" borderId="2" xfId="0" applyFont="1" applyBorder="1" applyAlignment="1" applyProtection="1">
      <alignment horizontal="center" wrapText="1"/>
      <protection hidden="1"/>
    </xf>
    <xf numFmtId="0" fontId="30" fillId="0" borderId="7" xfId="0" applyFont="1" applyBorder="1" applyAlignment="1" applyProtection="1">
      <alignment horizontal="center" wrapText="1"/>
      <protection hidden="1"/>
    </xf>
    <xf numFmtId="0" fontId="8" fillId="5" borderId="68" xfId="0" applyFont="1" applyFill="1" applyBorder="1" applyProtection="1">
      <protection hidden="1"/>
    </xf>
    <xf numFmtId="168" fontId="6" fillId="0" borderId="43" xfId="0" applyNumberFormat="1" applyFont="1" applyBorder="1" applyProtection="1">
      <protection hidden="1"/>
    </xf>
    <xf numFmtId="166" fontId="6" fillId="0" borderId="1" xfId="0" applyNumberFormat="1" applyFont="1" applyFill="1" applyBorder="1" applyProtection="1">
      <protection hidden="1"/>
    </xf>
    <xf numFmtId="166" fontId="6" fillId="0" borderId="27" xfId="0" applyNumberFormat="1" applyFont="1" applyBorder="1" applyProtection="1">
      <protection hidden="1"/>
    </xf>
    <xf numFmtId="166" fontId="6" fillId="0" borderId="1" xfId="0" applyNumberFormat="1" applyFont="1" applyBorder="1" applyProtection="1">
      <protection hidden="1"/>
    </xf>
    <xf numFmtId="168" fontId="6" fillId="0" borderId="15" xfId="0" applyNumberFormat="1" applyFont="1" applyBorder="1" applyProtection="1">
      <protection hidden="1"/>
    </xf>
    <xf numFmtId="168" fontId="8" fillId="0" borderId="11" xfId="0" applyNumberFormat="1" applyFont="1" applyBorder="1" applyAlignment="1" applyProtection="1">
      <alignment horizontal="left"/>
      <protection hidden="1"/>
    </xf>
    <xf numFmtId="168" fontId="6" fillId="0" borderId="6" xfId="0" applyNumberFormat="1" applyFont="1" applyBorder="1" applyProtection="1">
      <protection hidden="1"/>
    </xf>
    <xf numFmtId="2" fontId="6" fillId="5" borderId="25" xfId="0" applyNumberFormat="1" applyFont="1" applyFill="1" applyBorder="1" applyAlignment="1" applyProtection="1">
      <alignment horizontal="center"/>
      <protection hidden="1"/>
    </xf>
    <xf numFmtId="2" fontId="6" fillId="0" borderId="25" xfId="0" applyNumberFormat="1" applyFont="1" applyBorder="1" applyProtection="1">
      <protection hidden="1"/>
    </xf>
    <xf numFmtId="2" fontId="6" fillId="0" borderId="53" xfId="0" applyNumberFormat="1" applyFont="1" applyBorder="1" applyProtection="1">
      <protection hidden="1"/>
    </xf>
    <xf numFmtId="0" fontId="8" fillId="0" borderId="41" xfId="0" applyFont="1" applyBorder="1" applyAlignment="1" applyProtection="1">
      <alignment horizontal="left"/>
      <protection hidden="1"/>
    </xf>
    <xf numFmtId="2" fontId="6" fillId="0" borderId="27" xfId="0" applyNumberFormat="1" applyFont="1" applyBorder="1" applyProtection="1">
      <protection hidden="1"/>
    </xf>
    <xf numFmtId="2" fontId="6" fillId="0" borderId="27" xfId="0" applyNumberFormat="1" applyFont="1" applyFill="1" applyBorder="1" applyProtection="1">
      <protection hidden="1"/>
    </xf>
    <xf numFmtId="2" fontId="6" fillId="0" borderId="1" xfId="0" applyNumberFormat="1" applyFont="1" applyFill="1" applyBorder="1" applyProtection="1">
      <protection hidden="1"/>
    </xf>
    <xf numFmtId="0" fontId="6" fillId="2" borderId="1" xfId="0" applyFont="1" applyFill="1" applyBorder="1" applyAlignment="1" applyProtection="1">
      <alignment horizontal="center"/>
      <protection hidden="1"/>
    </xf>
    <xf numFmtId="0" fontId="6" fillId="3" borderId="1" xfId="0" applyFont="1" applyFill="1" applyBorder="1" applyProtection="1">
      <protection hidden="1"/>
    </xf>
    <xf numFmtId="169" fontId="6" fillId="0" borderId="1" xfId="0" applyNumberFormat="1" applyFont="1" applyFill="1" applyBorder="1" applyProtection="1">
      <protection hidden="1"/>
    </xf>
    <xf numFmtId="170" fontId="6" fillId="0" borderId="1" xfId="0" applyNumberFormat="1" applyFont="1" applyBorder="1" applyProtection="1">
      <protection hidden="1"/>
    </xf>
    <xf numFmtId="0" fontId="6" fillId="2" borderId="1" xfId="0" applyFont="1" applyFill="1" applyBorder="1" applyAlignment="1" applyProtection="1">
      <alignment horizontal="center" wrapText="1"/>
      <protection hidden="1"/>
    </xf>
    <xf numFmtId="0" fontId="6" fillId="2" borderId="1" xfId="0" applyFont="1" applyFill="1" applyBorder="1" applyAlignment="1" applyProtection="1">
      <alignment wrapText="1"/>
      <protection hidden="1"/>
    </xf>
    <xf numFmtId="1" fontId="6" fillId="0" borderId="1" xfId="0" applyNumberFormat="1" applyFont="1" applyFill="1" applyBorder="1" applyProtection="1">
      <protection hidden="1"/>
    </xf>
    <xf numFmtId="168" fontId="6" fillId="2" borderId="1" xfId="0" applyNumberFormat="1" applyFont="1" applyFill="1" applyBorder="1" applyAlignment="1" applyProtection="1">
      <alignment horizontal="center"/>
      <protection hidden="1"/>
    </xf>
    <xf numFmtId="0" fontId="13" fillId="6" borderId="22" xfId="0" applyFont="1" applyFill="1" applyBorder="1" applyProtection="1">
      <protection hidden="1"/>
    </xf>
    <xf numFmtId="167" fontId="6" fillId="0" borderId="1" xfId="0" applyNumberFormat="1" applyFont="1" applyBorder="1" applyAlignment="1" applyProtection="1">
      <alignment horizontal="right"/>
      <protection hidden="1"/>
    </xf>
    <xf numFmtId="168" fontId="6" fillId="0" borderId="1" xfId="0" applyNumberFormat="1" applyFont="1" applyBorder="1" applyAlignment="1" applyProtection="1">
      <alignment horizontal="right"/>
      <protection hidden="1"/>
    </xf>
    <xf numFmtId="2" fontId="33" fillId="8" borderId="0" xfId="0" applyNumberFormat="1" applyFont="1" applyFill="1" applyBorder="1" applyProtection="1">
      <protection hidden="1"/>
    </xf>
    <xf numFmtId="0" fontId="32" fillId="8" borderId="0" xfId="0" applyFont="1" applyFill="1" applyBorder="1" applyProtection="1">
      <protection hidden="1"/>
    </xf>
    <xf numFmtId="1" fontId="33" fillId="8" borderId="0" xfId="0" applyNumberFormat="1" applyFont="1" applyFill="1" applyBorder="1" applyProtection="1">
      <protection hidden="1"/>
    </xf>
    <xf numFmtId="0" fontId="32" fillId="8" borderId="0" xfId="0" applyFont="1" applyFill="1" applyBorder="1" applyAlignment="1" applyProtection="1">
      <alignment horizontal="center"/>
      <protection hidden="1"/>
    </xf>
    <xf numFmtId="169" fontId="33" fillId="8" borderId="0" xfId="0" applyNumberFormat="1" applyFont="1" applyFill="1" applyBorder="1" applyProtection="1">
      <protection hidden="1"/>
    </xf>
    <xf numFmtId="167" fontId="33" fillId="8" borderId="0" xfId="0" applyNumberFormat="1" applyFont="1" applyFill="1" applyBorder="1" applyProtection="1">
      <protection hidden="1"/>
    </xf>
    <xf numFmtId="0" fontId="6" fillId="6" borderId="76" xfId="0" applyFont="1" applyFill="1" applyBorder="1" applyProtection="1">
      <protection hidden="1"/>
    </xf>
    <xf numFmtId="0" fontId="6" fillId="3" borderId="55" xfId="0" applyFont="1" applyFill="1" applyBorder="1" applyProtection="1">
      <protection locked="0" hidden="1"/>
    </xf>
    <xf numFmtId="0" fontId="6" fillId="3" borderId="28" xfId="0" applyFont="1" applyFill="1" applyBorder="1" applyProtection="1">
      <protection locked="0" hidden="1"/>
    </xf>
    <xf numFmtId="0" fontId="6" fillId="3" borderId="65" xfId="0" applyFont="1" applyFill="1" applyBorder="1" applyProtection="1">
      <protection locked="0" hidden="1"/>
    </xf>
    <xf numFmtId="169" fontId="6" fillId="0" borderId="31" xfId="0" applyNumberFormat="1" applyFont="1" applyFill="1" applyBorder="1" applyProtection="1">
      <protection hidden="1"/>
    </xf>
    <xf numFmtId="1" fontId="6" fillId="0" borderId="28" xfId="0" applyNumberFormat="1" applyFont="1" applyBorder="1" applyProtection="1">
      <protection hidden="1"/>
    </xf>
    <xf numFmtId="2" fontId="6" fillId="0" borderId="66" xfId="0" applyNumberFormat="1" applyFont="1" applyBorder="1" applyAlignment="1" applyProtection="1">
      <alignment horizontal="center"/>
      <protection hidden="1"/>
    </xf>
    <xf numFmtId="2" fontId="6" fillId="0" borderId="64" xfId="0" applyNumberFormat="1" applyFont="1" applyBorder="1" applyProtection="1">
      <protection hidden="1"/>
    </xf>
    <xf numFmtId="2" fontId="6" fillId="0" borderId="31" xfId="0" applyNumberFormat="1" applyFont="1" applyBorder="1" applyProtection="1">
      <protection hidden="1"/>
    </xf>
    <xf numFmtId="2" fontId="6" fillId="0" borderId="76" xfId="0" applyNumberFormat="1" applyFont="1" applyBorder="1" applyProtection="1">
      <protection hidden="1"/>
    </xf>
    <xf numFmtId="2" fontId="6" fillId="0" borderId="63" xfId="0" applyNumberFormat="1" applyFont="1" applyBorder="1" applyProtection="1">
      <protection hidden="1"/>
    </xf>
    <xf numFmtId="0" fontId="6" fillId="6" borderId="23" xfId="0" applyFont="1" applyFill="1" applyBorder="1" applyProtection="1">
      <protection hidden="1"/>
    </xf>
    <xf numFmtId="0" fontId="6" fillId="3" borderId="15" xfId="0" applyFont="1" applyFill="1" applyBorder="1" applyProtection="1">
      <protection locked="0" hidden="1"/>
    </xf>
    <xf numFmtId="0" fontId="24" fillId="0" borderId="0" xfId="0" applyFont="1" applyAlignment="1" applyProtection="1">
      <alignment horizontal="center" vertical="center" wrapText="1"/>
      <protection hidden="1"/>
    </xf>
    <xf numFmtId="0" fontId="23" fillId="0" borderId="0" xfId="0" applyFont="1" applyBorder="1" applyAlignment="1" applyProtection="1">
      <alignment horizontal="center"/>
      <protection hidden="1"/>
    </xf>
    <xf numFmtId="0" fontId="6" fillId="0" borderId="0" xfId="0" applyFont="1" applyProtection="1">
      <protection hidden="1"/>
    </xf>
    <xf numFmtId="0" fontId="27" fillId="0" borderId="0" xfId="0" applyFont="1" applyAlignment="1" applyProtection="1">
      <alignment horizontal="left"/>
      <protection hidden="1"/>
    </xf>
    <xf numFmtId="0" fontId="26" fillId="0" borderId="0" xfId="0" applyFont="1" applyAlignment="1" applyProtection="1">
      <alignment wrapText="1"/>
      <protection hidden="1"/>
    </xf>
    <xf numFmtId="0" fontId="4" fillId="0" borderId="0" xfId="0" applyFont="1" applyProtection="1">
      <protection hidden="1"/>
    </xf>
    <xf numFmtId="0" fontId="25" fillId="0" borderId="0" xfId="0" applyFont="1" applyAlignment="1" applyProtection="1">
      <alignment horizontal="center" vertical="center"/>
      <protection hidden="1"/>
    </xf>
    <xf numFmtId="0" fontId="6" fillId="0" borderId="0" xfId="0" applyFont="1" applyAlignment="1" applyProtection="1">
      <alignment wrapText="1"/>
      <protection hidden="1"/>
    </xf>
    <xf numFmtId="0" fontId="6" fillId="0" borderId="0" xfId="0" applyFont="1" applyAlignment="1" applyProtection="1">
      <alignment horizontal="center"/>
      <protection hidden="1"/>
    </xf>
    <xf numFmtId="0" fontId="7" fillId="0" borderId="0" xfId="0" applyFont="1" applyProtection="1">
      <protection hidden="1"/>
    </xf>
    <xf numFmtId="0" fontId="6" fillId="0" borderId="0" xfId="0" applyFont="1" applyAlignment="1" applyProtection="1">
      <alignment vertical="center"/>
      <protection hidden="1"/>
    </xf>
    <xf numFmtId="0" fontId="6" fillId="0" borderId="0" xfId="0" applyFont="1"/>
    <xf numFmtId="0" fontId="6" fillId="0" borderId="0" xfId="0" applyFont="1" applyAlignment="1" applyProtection="1">
      <alignment vertical="center" wrapText="1"/>
      <protection hidden="1"/>
    </xf>
    <xf numFmtId="0" fontId="6" fillId="0" borderId="0" xfId="0" applyFont="1" applyAlignment="1">
      <alignment vertical="top" wrapText="1"/>
    </xf>
    <xf numFmtId="0" fontId="6" fillId="0" borderId="0" xfId="0" applyFont="1" applyAlignment="1" applyProtection="1">
      <alignment vertical="top" wrapText="1"/>
      <protection hidden="1"/>
    </xf>
    <xf numFmtId="0" fontId="6" fillId="0" borderId="0" xfId="0" applyFont="1" applyAlignment="1">
      <alignment wrapText="1"/>
    </xf>
    <xf numFmtId="0" fontId="6" fillId="0" borderId="0" xfId="0" applyFont="1" applyAlignment="1">
      <alignment vertical="center" wrapText="1"/>
    </xf>
    <xf numFmtId="0" fontId="8" fillId="0" borderId="0" xfId="0" applyFont="1" applyProtection="1">
      <protection hidden="1"/>
    </xf>
    <xf numFmtId="172" fontId="6" fillId="0" borderId="0" xfId="0" applyNumberFormat="1" applyFont="1" applyBorder="1" applyAlignment="1" applyProtection="1">
      <alignment horizontal="left"/>
      <protection hidden="1"/>
    </xf>
    <xf numFmtId="0" fontId="6" fillId="0" borderId="0" xfId="0" applyFont="1" applyAlignment="1" applyProtection="1">
      <alignment horizontal="left"/>
      <protection hidden="1"/>
    </xf>
    <xf numFmtId="0" fontId="6" fillId="0" borderId="71"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0" xfId="0" applyNumberFormat="1" applyFont="1" applyBorder="1" applyAlignment="1" applyProtection="1">
      <alignment horizontal="center" vertical="center" wrapText="1"/>
      <protection hidden="1"/>
    </xf>
    <xf numFmtId="0" fontId="11" fillId="0" borderId="7" xfId="0" applyFont="1" applyBorder="1" applyAlignment="1" applyProtection="1">
      <alignment horizontal="justify" vertical="center" wrapText="1"/>
      <protection hidden="1"/>
    </xf>
    <xf numFmtId="0" fontId="11" fillId="0" borderId="26" xfId="0" applyFont="1" applyBorder="1" applyAlignment="1" applyProtection="1">
      <alignment horizontal="justify" vertical="center" wrapText="1"/>
      <protection hidden="1"/>
    </xf>
    <xf numFmtId="0" fontId="8" fillId="0" borderId="1" xfId="0" applyFont="1" applyBorder="1" applyAlignment="1" applyProtection="1">
      <alignment horizontal="center"/>
      <protection hidden="1"/>
    </xf>
    <xf numFmtId="0" fontId="6" fillId="2" borderId="0" xfId="0" applyFont="1" applyFill="1" applyAlignment="1" applyProtection="1">
      <alignment horizontal="center"/>
      <protection hidden="1"/>
    </xf>
    <xf numFmtId="0" fontId="33" fillId="8" borderId="0" xfId="0" applyFont="1" applyFill="1" applyBorder="1" applyAlignment="1" applyProtection="1">
      <alignment horizontal="center"/>
      <protection hidden="1"/>
    </xf>
    <xf numFmtId="0" fontId="8" fillId="0" borderId="22" xfId="0" applyFont="1" applyFill="1" applyBorder="1" applyAlignment="1" applyProtection="1">
      <alignment horizontal="center"/>
      <protection hidden="1"/>
    </xf>
    <xf numFmtId="0" fontId="8" fillId="0" borderId="1" xfId="0" applyFont="1" applyFill="1" applyBorder="1" applyAlignment="1" applyProtection="1">
      <alignment horizontal="center"/>
      <protection hidden="1"/>
    </xf>
    <xf numFmtId="0" fontId="8" fillId="0" borderId="3" xfId="0" applyFont="1" applyBorder="1" applyAlignment="1" applyProtection="1">
      <alignment horizontal="center"/>
      <protection hidden="1"/>
    </xf>
    <xf numFmtId="0" fontId="17" fillId="0" borderId="0" xfId="0" applyFont="1" applyBorder="1" applyProtection="1">
      <protection hidden="1"/>
    </xf>
    <xf numFmtId="0" fontId="32" fillId="8" borderId="0" xfId="0" applyFont="1" applyFill="1" applyBorder="1" applyProtection="1">
      <protection locked="0" hidden="1"/>
    </xf>
    <xf numFmtId="0" fontId="6" fillId="4" borderId="74" xfId="0" applyFont="1" applyFill="1" applyBorder="1" applyAlignment="1" applyProtection="1">
      <alignment horizontal="center"/>
      <protection hidden="1"/>
    </xf>
    <xf numFmtId="0" fontId="6" fillId="4" borderId="72" xfId="0" applyFont="1" applyFill="1" applyBorder="1" applyAlignment="1" applyProtection="1">
      <alignment horizontal="center"/>
      <protection hidden="1"/>
    </xf>
    <xf numFmtId="0" fontId="6" fillId="2" borderId="71" xfId="0" applyFont="1" applyFill="1" applyBorder="1" applyAlignment="1" applyProtection="1">
      <alignment horizontal="center"/>
      <protection hidden="1"/>
    </xf>
    <xf numFmtId="0" fontId="6" fillId="2" borderId="7" xfId="0" applyFont="1" applyFill="1" applyBorder="1" applyAlignment="1" applyProtection="1">
      <alignment horizontal="center"/>
      <protection hidden="1"/>
    </xf>
    <xf numFmtId="0" fontId="6" fillId="0" borderId="40" xfId="0" applyFont="1" applyFill="1" applyBorder="1" applyAlignment="1" applyProtection="1">
      <alignment horizontal="center"/>
      <protection hidden="1"/>
    </xf>
    <xf numFmtId="0" fontId="6" fillId="0" borderId="6"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0" fontId="6" fillId="2" borderId="40" xfId="0" applyFont="1" applyFill="1" applyBorder="1" applyAlignment="1" applyProtection="1">
      <alignment horizontal="center"/>
      <protection hidden="1"/>
    </xf>
    <xf numFmtId="0" fontId="6" fillId="2" borderId="39" xfId="0" applyFont="1" applyFill="1" applyBorder="1" applyAlignment="1" applyProtection="1">
      <alignment horizontal="center"/>
      <protection hidden="1"/>
    </xf>
    <xf numFmtId="0" fontId="6" fillId="0" borderId="0" xfId="0" applyNumberFormat="1" applyFont="1" applyBorder="1" applyAlignment="1" applyProtection="1">
      <alignment horizontal="left" vertical="center" wrapText="1"/>
      <protection hidden="1"/>
    </xf>
    <xf numFmtId="0" fontId="6" fillId="0" borderId="11" xfId="0" applyFont="1" applyBorder="1" applyAlignment="1" applyProtection="1">
      <alignment horizontal="right"/>
      <protection hidden="1"/>
    </xf>
    <xf numFmtId="0" fontId="6" fillId="0" borderId="11" xfId="0" applyFont="1" applyBorder="1" applyProtection="1">
      <protection hidden="1"/>
    </xf>
    <xf numFmtId="171" fontId="6" fillId="4" borderId="72" xfId="0" applyNumberFormat="1" applyFont="1" applyFill="1" applyBorder="1" applyProtection="1">
      <protection hidden="1"/>
    </xf>
    <xf numFmtId="171" fontId="6" fillId="4" borderId="73" xfId="0" applyNumberFormat="1" applyFont="1" applyFill="1" applyBorder="1" applyProtection="1">
      <protection hidden="1"/>
    </xf>
    <xf numFmtId="0" fontId="8" fillId="0" borderId="71" xfId="0" applyFont="1" applyBorder="1" applyAlignment="1" applyProtection="1">
      <alignment horizontal="left"/>
      <protection hidden="1"/>
    </xf>
    <xf numFmtId="0" fontId="8" fillId="0" borderId="7" xfId="0" applyFont="1" applyBorder="1" applyAlignment="1" applyProtection="1">
      <alignment horizontal="left"/>
      <protection hidden="1"/>
    </xf>
    <xf numFmtId="0" fontId="6" fillId="3" borderId="1" xfId="0" applyFont="1" applyFill="1" applyBorder="1" applyProtection="1">
      <protection locked="0" hidden="1"/>
    </xf>
    <xf numFmtId="0" fontId="8" fillId="0" borderId="0" xfId="0" applyFont="1"/>
    <xf numFmtId="0" fontId="8" fillId="0" borderId="0" xfId="0" applyFont="1" applyBorder="1" applyProtection="1">
      <protection hidden="1"/>
    </xf>
    <xf numFmtId="0" fontId="6" fillId="0" borderId="1" xfId="0" applyFont="1" applyBorder="1" applyProtection="1">
      <protection hidden="1"/>
    </xf>
    <xf numFmtId="0" fontId="8" fillId="4" borderId="0" xfId="0" applyFont="1" applyFill="1" applyAlignment="1" applyProtection="1">
      <alignment horizontal="left"/>
      <protection hidden="1"/>
    </xf>
    <xf numFmtId="0" fontId="8" fillId="0" borderId="0" xfId="0" applyFont="1" applyFill="1" applyAlignment="1" applyProtection="1">
      <alignment horizontal="center"/>
      <protection hidden="1"/>
    </xf>
    <xf numFmtId="0" fontId="18" fillId="5" borderId="71" xfId="0" applyFont="1" applyFill="1" applyBorder="1" applyProtection="1">
      <protection hidden="1"/>
    </xf>
    <xf numFmtId="0" fontId="18" fillId="5" borderId="26" xfId="0" applyFont="1" applyFill="1" applyBorder="1" applyProtection="1">
      <protection hidden="1"/>
    </xf>
    <xf numFmtId="0" fontId="6" fillId="0" borderId="65" xfId="0" applyFont="1" applyBorder="1" applyProtection="1">
      <protection hidden="1"/>
    </xf>
    <xf numFmtId="0" fontId="6" fillId="0" borderId="66" xfId="0" applyFont="1" applyBorder="1" applyProtection="1">
      <protection hidden="1"/>
    </xf>
    <xf numFmtId="0" fontId="6" fillId="0" borderId="28" xfId="0" applyFont="1" applyBorder="1" applyProtection="1">
      <protection hidden="1"/>
    </xf>
    <xf numFmtId="0" fontId="0" fillId="0" borderId="1" xfId="0" applyBorder="1"/>
    <xf numFmtId="0" fontId="0" fillId="0" borderId="75" xfId="0" applyBorder="1"/>
    <xf numFmtId="0" fontId="19" fillId="0" borderId="0" xfId="0" applyFont="1"/>
    <xf numFmtId="0" fontId="0" fillId="0" borderId="27" xfId="0" applyBorder="1"/>
    <xf numFmtId="0" fontId="0" fillId="0" borderId="22" xfId="0" applyBorder="1"/>
    <xf numFmtId="0" fontId="13" fillId="0" borderId="68" xfId="0" applyFont="1" applyBorder="1" applyProtection="1">
      <protection hidden="1"/>
    </xf>
    <xf numFmtId="0" fontId="13" fillId="0" borderId="0" xfId="0" applyFont="1" applyBorder="1" applyProtection="1">
      <protection hidden="1"/>
    </xf>
    <xf numFmtId="0" fontId="0" fillId="0" borderId="65" xfId="0" applyBorder="1"/>
    <xf numFmtId="0" fontId="0" fillId="0" borderId="66" xfId="0" applyBorder="1"/>
    <xf numFmtId="0" fontId="0" fillId="0" borderId="3" xfId="0" applyBorder="1"/>
    <xf numFmtId="0" fontId="18" fillId="5" borderId="71" xfId="0" applyFont="1" applyFill="1" applyBorder="1"/>
    <xf numFmtId="0" fontId="18" fillId="5" borderId="26" xfId="0" applyFont="1" applyFill="1" applyBorder="1"/>
    <xf numFmtId="0" fontId="8" fillId="4" borderId="0" xfId="0" applyFont="1" applyFill="1" applyBorder="1" applyAlignment="1" applyProtection="1">
      <alignment horizontal="left"/>
      <protection hidden="1"/>
    </xf>
    <xf numFmtId="0" fontId="8" fillId="0" borderId="29" xfId="0" applyFont="1" applyBorder="1" applyAlignment="1" applyProtection="1">
      <alignment horizontal="center"/>
      <protection hidden="1"/>
    </xf>
  </cellXfs>
  <cellStyles count="2">
    <cellStyle name="Standard" xfId="0" builtinId="0"/>
    <cellStyle name="Währung" xfId="1" builtinId="4"/>
  </cellStyles>
  <dxfs count="14">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9"/>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6854942233632862"/>
          <c:y val="2.9411764705882353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7.5738125802310652E-2"/>
          <c:y val="0.14285714285714285"/>
          <c:w val="0.7740693196405648"/>
          <c:h val="0.76260504201680668"/>
        </c:manualLayout>
      </c:layout>
      <c:scatterChart>
        <c:scatterStyle val="smoothMarker"/>
        <c:varyColors val="0"/>
        <c:ser>
          <c:idx val="0"/>
          <c:order val="0"/>
          <c:tx>
            <c:strRef>
              <c:f>Konstante!$B$150</c:f>
              <c:strCache>
                <c:ptCount val="1"/>
                <c:pt idx="0">
                  <c:v>z - Wert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Konstante!$A$151:$A$271</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xVal>
          <c:yVal>
            <c:numRef>
              <c:f>Konstante!$B$151:$B$271</c:f>
              <c:numCache>
                <c:formatCode>0.000</c:formatCode>
                <c:ptCount val="121"/>
                <c:pt idx="0">
                  <c:v>0</c:v>
                </c:pt>
                <c:pt idx="1">
                  <c:v>0.01</c:v>
                </c:pt>
                <c:pt idx="2">
                  <c:v>0.02</c:v>
                </c:pt>
                <c:pt idx="3">
                  <c:v>0.03</c:v>
                </c:pt>
                <c:pt idx="4">
                  <c:v>0.04</c:v>
                </c:pt>
                <c:pt idx="5">
                  <c:v>0.05</c:v>
                </c:pt>
                <c:pt idx="6">
                  <c:v>0.06</c:v>
                </c:pt>
                <c:pt idx="7">
                  <c:v>7.0000000000000007E-2</c:v>
                </c:pt>
                <c:pt idx="8">
                  <c:v>0.08</c:v>
                </c:pt>
                <c:pt idx="9">
                  <c:v>0.09</c:v>
                </c:pt>
                <c:pt idx="10">
                  <c:v>0.1</c:v>
                </c:pt>
                <c:pt idx="11">
                  <c:v>0.105</c:v>
                </c:pt>
                <c:pt idx="12">
                  <c:v>0.11</c:v>
                </c:pt>
                <c:pt idx="13">
                  <c:v>0.115</c:v>
                </c:pt>
                <c:pt idx="14">
                  <c:v>0.12</c:v>
                </c:pt>
                <c:pt idx="15">
                  <c:v>0.125</c:v>
                </c:pt>
                <c:pt idx="16">
                  <c:v>0.13</c:v>
                </c:pt>
                <c:pt idx="17">
                  <c:v>0.13500000000000001</c:v>
                </c:pt>
                <c:pt idx="18">
                  <c:v>0.14000000000000001</c:v>
                </c:pt>
                <c:pt idx="19">
                  <c:v>0.14499999999999999</c:v>
                </c:pt>
                <c:pt idx="20">
                  <c:v>0.15</c:v>
                </c:pt>
                <c:pt idx="21">
                  <c:v>0.155</c:v>
                </c:pt>
                <c:pt idx="22">
                  <c:v>0.16</c:v>
                </c:pt>
                <c:pt idx="23">
                  <c:v>0.16500000000000001</c:v>
                </c:pt>
                <c:pt idx="24">
                  <c:v>0.17</c:v>
                </c:pt>
                <c:pt idx="25">
                  <c:v>0.17499999999999999</c:v>
                </c:pt>
                <c:pt idx="26">
                  <c:v>0.18</c:v>
                </c:pt>
                <c:pt idx="27">
                  <c:v>0.185</c:v>
                </c:pt>
                <c:pt idx="28">
                  <c:v>0.19</c:v>
                </c:pt>
                <c:pt idx="29">
                  <c:v>0.19500000000000001</c:v>
                </c:pt>
                <c:pt idx="30">
                  <c:v>0.2</c:v>
                </c:pt>
                <c:pt idx="31">
                  <c:v>0.21333333333333335</c:v>
                </c:pt>
                <c:pt idx="32">
                  <c:v>0.22666666666666668</c:v>
                </c:pt>
                <c:pt idx="33">
                  <c:v>0.24000000000000002</c:v>
                </c:pt>
                <c:pt idx="34">
                  <c:v>0.25333333333333335</c:v>
                </c:pt>
                <c:pt idx="35">
                  <c:v>0.26666666666666666</c:v>
                </c:pt>
                <c:pt idx="36">
                  <c:v>0.27999999999999997</c:v>
                </c:pt>
                <c:pt idx="37">
                  <c:v>0.29333333333333328</c:v>
                </c:pt>
                <c:pt idx="38">
                  <c:v>0.30666666666666659</c:v>
                </c:pt>
                <c:pt idx="39">
                  <c:v>0.3199999999999999</c:v>
                </c:pt>
                <c:pt idx="40">
                  <c:v>0.3333333333333332</c:v>
                </c:pt>
                <c:pt idx="41">
                  <c:v>0.34666666666666651</c:v>
                </c:pt>
                <c:pt idx="42">
                  <c:v>0.35999999999999982</c:v>
                </c:pt>
                <c:pt idx="43">
                  <c:v>0.37333333333333313</c:v>
                </c:pt>
                <c:pt idx="44">
                  <c:v>0.38666666666666644</c:v>
                </c:pt>
                <c:pt idx="45">
                  <c:v>0.4</c:v>
                </c:pt>
                <c:pt idx="46">
                  <c:v>0.42666666666666669</c:v>
                </c:pt>
                <c:pt idx="47">
                  <c:v>0.45333333333333337</c:v>
                </c:pt>
                <c:pt idx="48">
                  <c:v>0.48000000000000004</c:v>
                </c:pt>
                <c:pt idx="49">
                  <c:v>0.50666666666666671</c:v>
                </c:pt>
                <c:pt idx="50">
                  <c:v>0.53333333333333333</c:v>
                </c:pt>
                <c:pt idx="51">
                  <c:v>0.55999999999999994</c:v>
                </c:pt>
                <c:pt idx="52">
                  <c:v>0.58666666666666656</c:v>
                </c:pt>
                <c:pt idx="53">
                  <c:v>0.61333333333333317</c:v>
                </c:pt>
                <c:pt idx="54">
                  <c:v>0.63999999999999979</c:v>
                </c:pt>
                <c:pt idx="55">
                  <c:v>0.66666666666666641</c:v>
                </c:pt>
                <c:pt idx="56">
                  <c:v>0.69333333333333302</c:v>
                </c:pt>
                <c:pt idx="57">
                  <c:v>0.71999999999999964</c:v>
                </c:pt>
                <c:pt idx="58">
                  <c:v>0.74666666666666626</c:v>
                </c:pt>
                <c:pt idx="59">
                  <c:v>0.77333333333333287</c:v>
                </c:pt>
                <c:pt idx="60">
                  <c:v>0.8</c:v>
                </c:pt>
                <c:pt idx="61">
                  <c:v>0.81333333333333335</c:v>
                </c:pt>
                <c:pt idx="62">
                  <c:v>0.82666666666666666</c:v>
                </c:pt>
                <c:pt idx="63">
                  <c:v>0.84</c:v>
                </c:pt>
                <c:pt idx="64">
                  <c:v>0.85333333333333328</c:v>
                </c:pt>
                <c:pt idx="65">
                  <c:v>0.86666666666666659</c:v>
                </c:pt>
                <c:pt idx="66">
                  <c:v>0.87999999999999989</c:v>
                </c:pt>
                <c:pt idx="67">
                  <c:v>0.8933333333333332</c:v>
                </c:pt>
                <c:pt idx="68">
                  <c:v>0.90666666666666651</c:v>
                </c:pt>
                <c:pt idx="69">
                  <c:v>0.91999999999999982</c:v>
                </c:pt>
                <c:pt idx="70">
                  <c:v>0.93333333333333313</c:v>
                </c:pt>
                <c:pt idx="71">
                  <c:v>0.94666666666666643</c:v>
                </c:pt>
                <c:pt idx="72">
                  <c:v>0.95999999999999974</c:v>
                </c:pt>
                <c:pt idx="73">
                  <c:v>0.97333333333333305</c:v>
                </c:pt>
                <c:pt idx="74">
                  <c:v>0.98666666666666636</c:v>
                </c:pt>
                <c:pt idx="75">
                  <c:v>0.99999999999999967</c:v>
                </c:pt>
                <c:pt idx="76">
                  <c:v>1.013333333333333</c:v>
                </c:pt>
                <c:pt idx="77">
                  <c:v>1.0266666666666664</c:v>
                </c:pt>
                <c:pt idx="78">
                  <c:v>1.0399999999999998</c:v>
                </c:pt>
                <c:pt idx="79">
                  <c:v>1.0533333333333332</c:v>
                </c:pt>
                <c:pt idx="80">
                  <c:v>1.0666666666666667</c:v>
                </c:pt>
                <c:pt idx="81">
                  <c:v>1.08</c:v>
                </c:pt>
                <c:pt idx="82">
                  <c:v>1.0933333333333335</c:v>
                </c:pt>
                <c:pt idx="83">
                  <c:v>1.1066666666666669</c:v>
                </c:pt>
                <c:pt idx="84">
                  <c:v>1.1200000000000003</c:v>
                </c:pt>
                <c:pt idx="85">
                  <c:v>1.1333333333333337</c:v>
                </c:pt>
                <c:pt idx="86">
                  <c:v>1.1466666666666672</c:v>
                </c:pt>
                <c:pt idx="87">
                  <c:v>1.1600000000000006</c:v>
                </c:pt>
                <c:pt idx="88">
                  <c:v>1.173333333333334</c:v>
                </c:pt>
                <c:pt idx="89">
                  <c:v>1.1866666666666674</c:v>
                </c:pt>
                <c:pt idx="90">
                  <c:v>1.2</c:v>
                </c:pt>
                <c:pt idx="91">
                  <c:v>1.2129999999999999</c:v>
                </c:pt>
                <c:pt idx="92">
                  <c:v>1.2259999999999998</c:v>
                </c:pt>
                <c:pt idx="93">
                  <c:v>1.2389999999999997</c:v>
                </c:pt>
                <c:pt idx="94">
                  <c:v>1.2519999999999996</c:v>
                </c:pt>
                <c:pt idx="95">
                  <c:v>1.2649999999999995</c:v>
                </c:pt>
                <c:pt idx="96">
                  <c:v>1.2779999999999994</c:v>
                </c:pt>
                <c:pt idx="97">
                  <c:v>1.2909999999999993</c:v>
                </c:pt>
                <c:pt idx="98">
                  <c:v>1.3039999999999992</c:v>
                </c:pt>
                <c:pt idx="99">
                  <c:v>1.3169999999999991</c:v>
                </c:pt>
                <c:pt idx="100">
                  <c:v>1.33</c:v>
                </c:pt>
                <c:pt idx="101">
                  <c:v>1.3440000000000001</c:v>
                </c:pt>
                <c:pt idx="102">
                  <c:v>1.3580000000000001</c:v>
                </c:pt>
                <c:pt idx="103">
                  <c:v>1.3720000000000001</c:v>
                </c:pt>
                <c:pt idx="104">
                  <c:v>1.3860000000000001</c:v>
                </c:pt>
                <c:pt idx="105">
                  <c:v>1.4000000000000001</c:v>
                </c:pt>
                <c:pt idx="106">
                  <c:v>1.4140000000000001</c:v>
                </c:pt>
                <c:pt idx="107">
                  <c:v>1.4280000000000002</c:v>
                </c:pt>
                <c:pt idx="108">
                  <c:v>1.4420000000000002</c:v>
                </c:pt>
                <c:pt idx="109">
                  <c:v>1.4560000000000002</c:v>
                </c:pt>
                <c:pt idx="110">
                  <c:v>1.47</c:v>
                </c:pt>
                <c:pt idx="111">
                  <c:v>1.4829999999999999</c:v>
                </c:pt>
                <c:pt idx="112">
                  <c:v>1.4959999999999998</c:v>
                </c:pt>
                <c:pt idx="113">
                  <c:v>1.5089999999999997</c:v>
                </c:pt>
                <c:pt idx="114">
                  <c:v>1.5219999999999996</c:v>
                </c:pt>
                <c:pt idx="115">
                  <c:v>1.5349999999999995</c:v>
                </c:pt>
                <c:pt idx="116">
                  <c:v>1.5479999999999994</c:v>
                </c:pt>
                <c:pt idx="117">
                  <c:v>1.5609999999999993</c:v>
                </c:pt>
                <c:pt idx="118">
                  <c:v>1.5739999999999992</c:v>
                </c:pt>
                <c:pt idx="119">
                  <c:v>1.5869999999999991</c:v>
                </c:pt>
                <c:pt idx="120">
                  <c:v>1.6</c:v>
                </c:pt>
              </c:numCache>
            </c:numRef>
          </c:yVal>
          <c:smooth val="1"/>
        </c:ser>
        <c:dLbls>
          <c:showLegendKey val="0"/>
          <c:showVal val="0"/>
          <c:showCatName val="0"/>
          <c:showSerName val="0"/>
          <c:showPercent val="0"/>
          <c:showBubbleSize val="0"/>
        </c:dLbls>
        <c:axId val="190896384"/>
        <c:axId val="187748736"/>
      </c:scatterChart>
      <c:valAx>
        <c:axId val="19089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7748736"/>
        <c:crosses val="autoZero"/>
        <c:crossBetween val="midCat"/>
      </c:valAx>
      <c:valAx>
        <c:axId val="187748736"/>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90896384"/>
        <c:crosses val="autoZero"/>
        <c:crossBetween val="midCat"/>
      </c:valAx>
      <c:spPr>
        <a:solidFill>
          <a:srgbClr val="C0C0C0"/>
        </a:solidFill>
        <a:ln w="12700">
          <a:solidFill>
            <a:srgbClr val="808080"/>
          </a:solidFill>
          <a:prstDash val="solid"/>
        </a:ln>
      </c:spPr>
    </c:plotArea>
    <c:legend>
      <c:legendPos val="r"/>
      <c:layout>
        <c:manualLayout>
          <c:xMode val="edge"/>
          <c:yMode val="edge"/>
          <c:x val="0.87933247753530164"/>
          <c:y val="0.50210084033613445"/>
          <c:w val="0.11039794608472397"/>
          <c:h val="4.62184873949579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538767395626243"/>
          <c:y val="3.5830618892508145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7.1570576540755465E-2"/>
          <c:y val="0.20846938694362491"/>
          <c:w val="0.75745526838966204"/>
          <c:h val="0.69055484425075753"/>
        </c:manualLayout>
      </c:layout>
      <c:scatterChart>
        <c:scatterStyle val="smoothMarker"/>
        <c:varyColors val="0"/>
        <c:ser>
          <c:idx val="0"/>
          <c:order val="0"/>
          <c:tx>
            <c:strRef>
              <c:f>Konstante!$J$23</c:f>
              <c:strCache>
                <c:ptCount val="1"/>
                <c:pt idx="0">
                  <c:v>z - Wert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dispRSqr val="0"/>
            <c:dispEq val="1"/>
            <c:trendlineLbl>
              <c:layout>
                <c:manualLayout>
                  <c:xMode val="edge"/>
                  <c:yMode val="edge"/>
                  <c:x val="0.40755467196819084"/>
                  <c:y val="0.67752550756678087"/>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trendlineLbl>
          </c:trendline>
          <c:xVal>
            <c:numRef>
              <c:f>Konstante!$I$24:$I$30</c:f>
              <c:numCache>
                <c:formatCode>General</c:formatCode>
                <c:ptCount val="7"/>
                <c:pt idx="0">
                  <c:v>0.2</c:v>
                </c:pt>
                <c:pt idx="1">
                  <c:v>0.4</c:v>
                </c:pt>
                <c:pt idx="2">
                  <c:v>0.5</c:v>
                </c:pt>
                <c:pt idx="3">
                  <c:v>0.6</c:v>
                </c:pt>
                <c:pt idx="4">
                  <c:v>0.7</c:v>
                </c:pt>
                <c:pt idx="5">
                  <c:v>0.8</c:v>
                </c:pt>
                <c:pt idx="6">
                  <c:v>0.9</c:v>
                </c:pt>
              </c:numCache>
            </c:numRef>
          </c:xVal>
          <c:yVal>
            <c:numRef>
              <c:f>Konstante!$J$24:$J$30</c:f>
              <c:numCache>
                <c:formatCode>General</c:formatCode>
                <c:ptCount val="7"/>
                <c:pt idx="0">
                  <c:v>0.39</c:v>
                </c:pt>
                <c:pt idx="1">
                  <c:v>0.33</c:v>
                </c:pt>
                <c:pt idx="2">
                  <c:v>0.29249999999999998</c:v>
                </c:pt>
                <c:pt idx="3">
                  <c:v>0.25</c:v>
                </c:pt>
                <c:pt idx="4">
                  <c:v>0.20250000000000001</c:v>
                </c:pt>
                <c:pt idx="5">
                  <c:v>0.15</c:v>
                </c:pt>
                <c:pt idx="6">
                  <c:v>9.2499999999999999E-2</c:v>
                </c:pt>
              </c:numCache>
            </c:numRef>
          </c:yVal>
          <c:smooth val="1"/>
        </c:ser>
        <c:dLbls>
          <c:showLegendKey val="0"/>
          <c:showVal val="0"/>
          <c:showCatName val="0"/>
          <c:showSerName val="0"/>
          <c:showPercent val="0"/>
          <c:showBubbleSize val="0"/>
        </c:dLbls>
        <c:axId val="192115840"/>
        <c:axId val="192117376"/>
      </c:scatterChart>
      <c:valAx>
        <c:axId val="19211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92117376"/>
        <c:crosses val="autoZero"/>
        <c:crossBetween val="midCat"/>
      </c:valAx>
      <c:valAx>
        <c:axId val="1921173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92115840"/>
        <c:crosses val="autoZero"/>
        <c:crossBetween val="midCat"/>
      </c:valAx>
      <c:spPr>
        <a:solidFill>
          <a:srgbClr val="C0C0C0"/>
        </a:solidFill>
        <a:ln w="12700">
          <a:solidFill>
            <a:srgbClr val="808080"/>
          </a:solidFill>
          <a:prstDash val="solid"/>
        </a:ln>
      </c:spPr>
    </c:plotArea>
    <c:legend>
      <c:legendPos val="r"/>
      <c:layout>
        <c:manualLayout>
          <c:xMode val="edge"/>
          <c:yMode val="edge"/>
          <c:x val="0.52683896620278325"/>
          <c:y val="0.26384399018526594"/>
          <c:w val="0.29423459244532801"/>
          <c:h val="0.1270361725956893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455552349150073"/>
          <c:y val="3.6065573770491806E-2"/>
        </c:manualLayout>
      </c:layout>
      <c:overlay val="0"/>
      <c:spPr>
        <a:noFill/>
        <a:ln w="25400">
          <a:noFill/>
        </a:ln>
      </c:spPr>
      <c:txPr>
        <a:bodyPr/>
        <a:lstStyle/>
        <a:p>
          <a:pPr>
            <a:defRPr sz="55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8.1151936191017918E-2"/>
          <c:y val="0.16065573770491803"/>
          <c:w val="0.56806355333712544"/>
          <c:h val="0.73114754098360657"/>
        </c:manualLayout>
      </c:layout>
      <c:scatterChart>
        <c:scatterStyle val="smoothMarker"/>
        <c:varyColors val="0"/>
        <c:ser>
          <c:idx val="0"/>
          <c:order val="0"/>
          <c:tx>
            <c:strRef>
              <c:f>Konstante!$J$6</c:f>
              <c:strCache>
                <c:ptCount val="1"/>
                <c:pt idx="0">
                  <c:v>z - Wert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dispRSqr val="0"/>
            <c:dispEq val="1"/>
            <c:trendlineLbl>
              <c:layout>
                <c:manualLayout>
                  <c:xMode val="edge"/>
                  <c:yMode val="edge"/>
                  <c:x val="0.57068135773038409"/>
                  <c:y val="7.2131147540983612E-2"/>
                </c:manualLayout>
              </c:layout>
              <c:tx>
                <c:rich>
                  <a:bodyPr/>
                  <a:lstStyle/>
                  <a:p>
                    <a:pPr>
                      <a:defRPr sz="550" b="0" i="0" u="none" strike="noStrike" baseline="0">
                        <a:solidFill>
                          <a:srgbClr val="000000"/>
                        </a:solidFill>
                        <a:latin typeface="Arial"/>
                        <a:ea typeface="Arial"/>
                        <a:cs typeface="Arial"/>
                      </a:defRPr>
                    </a:pPr>
                    <a:r>
                      <a:rPr lang="de-AT" sz="800" b="0" i="0" u="none" strike="noStrike" baseline="0">
                        <a:solidFill>
                          <a:srgbClr val="000000"/>
                        </a:solidFill>
                        <a:latin typeface="Arial"/>
                        <a:cs typeface="Arial"/>
                      </a:rPr>
                      <a:t>y = 0,8036x</a:t>
                    </a:r>
                    <a:r>
                      <a:rPr lang="de-AT" sz="800" b="0" i="0" u="none" strike="noStrike" baseline="30000">
                        <a:solidFill>
                          <a:srgbClr val="000000"/>
                        </a:solidFill>
                        <a:latin typeface="Arial"/>
                        <a:cs typeface="Arial"/>
                      </a:rPr>
                      <a:t>2</a:t>
                    </a:r>
                    <a:r>
                      <a:rPr lang="de-AT" sz="800" b="0" i="0" u="none" strike="noStrike" baseline="0">
                        <a:solidFill>
                          <a:srgbClr val="000000"/>
                        </a:solidFill>
                        <a:latin typeface="Arial"/>
                        <a:cs typeface="Arial"/>
                      </a:rPr>
                      <a:t> - 1,8036x + 1,0071</a:t>
                    </a:r>
                  </a:p>
                </c:rich>
              </c:tx>
              <c:numFmt formatCode="General" sourceLinked="0"/>
              <c:spPr>
                <a:noFill/>
                <a:ln w="25400">
                  <a:noFill/>
                </a:ln>
              </c:spPr>
            </c:trendlineLbl>
          </c:trendline>
          <c:xVal>
            <c:numRef>
              <c:f>Konstante!$I$7:$I$12</c:f>
              <c:numCache>
                <c:formatCode>General</c:formatCode>
                <c:ptCount val="6"/>
                <c:pt idx="0">
                  <c:v>0</c:v>
                </c:pt>
                <c:pt idx="1">
                  <c:v>0.2</c:v>
                </c:pt>
                <c:pt idx="2">
                  <c:v>0.4</c:v>
                </c:pt>
                <c:pt idx="3">
                  <c:v>0.6</c:v>
                </c:pt>
                <c:pt idx="4">
                  <c:v>0.8</c:v>
                </c:pt>
                <c:pt idx="5">
                  <c:v>1</c:v>
                </c:pt>
              </c:numCache>
            </c:numRef>
          </c:xVal>
          <c:yVal>
            <c:numRef>
              <c:f>Konstante!$J$7:$J$12</c:f>
              <c:numCache>
                <c:formatCode>General</c:formatCode>
                <c:ptCount val="6"/>
                <c:pt idx="0">
                  <c:v>1</c:v>
                </c:pt>
                <c:pt idx="1">
                  <c:v>0.7</c:v>
                </c:pt>
                <c:pt idx="2">
                  <c:v>0.4</c:v>
                </c:pt>
                <c:pt idx="3">
                  <c:v>0.2</c:v>
                </c:pt>
                <c:pt idx="4">
                  <c:v>0.1</c:v>
                </c:pt>
                <c:pt idx="5">
                  <c:v>0</c:v>
                </c:pt>
              </c:numCache>
            </c:numRef>
          </c:yVal>
          <c:smooth val="1"/>
        </c:ser>
        <c:dLbls>
          <c:showLegendKey val="0"/>
          <c:showVal val="0"/>
          <c:showCatName val="0"/>
          <c:showSerName val="0"/>
          <c:showPercent val="0"/>
          <c:showBubbleSize val="0"/>
        </c:dLbls>
        <c:axId val="192687488"/>
        <c:axId val="192693376"/>
      </c:scatterChart>
      <c:valAx>
        <c:axId val="192687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de-DE"/>
          </a:p>
        </c:txPr>
        <c:crossAx val="192693376"/>
        <c:crosses val="autoZero"/>
        <c:crossBetween val="midCat"/>
      </c:valAx>
      <c:valAx>
        <c:axId val="1926933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de-DE"/>
          </a:p>
        </c:txPr>
        <c:crossAx val="192687488"/>
        <c:crosses val="autoZero"/>
        <c:crossBetween val="midCat"/>
      </c:valAx>
      <c:spPr>
        <a:solidFill>
          <a:srgbClr val="C0C0C0"/>
        </a:solidFill>
        <a:ln w="12700">
          <a:solidFill>
            <a:srgbClr val="808080"/>
          </a:solidFill>
          <a:prstDash val="solid"/>
        </a:ln>
      </c:spPr>
    </c:plotArea>
    <c:legend>
      <c:legendPos val="r"/>
      <c:layout>
        <c:manualLayout>
          <c:xMode val="edge"/>
          <c:yMode val="edge"/>
          <c:x val="0.69371810199117778"/>
          <c:y val="0.4819672131147541"/>
          <c:w val="0.28534058897088121"/>
          <c:h val="8.8524590163934436E-2"/>
        </c:manualLayout>
      </c:layout>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emf"/><Relationship Id="rId1" Type="http://schemas.openxmlformats.org/officeDocument/2006/relationships/chart" Target="../charts/chart1.xml"/><Relationship Id="rId5" Type="http://schemas.openxmlformats.org/officeDocument/2006/relationships/chart" Target="../charts/chart3.xml"/><Relationship Id="rId4"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98</xdr:row>
          <xdr:rowOff>9525</xdr:rowOff>
        </xdr:from>
        <xdr:to>
          <xdr:col>6</xdr:col>
          <xdr:colOff>161925</xdr:colOff>
          <xdr:row>107</xdr:row>
          <xdr:rowOff>123825</xdr:rowOff>
        </xdr:to>
        <xdr:sp macro="" textlink="">
          <xdr:nvSpPr>
            <xdr:cNvPr id="18435" name="Object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xdr:twoCellAnchor editAs="oneCell">
    <xdr:from>
      <xdr:col>255</xdr:col>
      <xdr:colOff>0</xdr:colOff>
      <xdr:row>14</xdr:row>
      <xdr:rowOff>47625</xdr:rowOff>
    </xdr:from>
    <xdr:to>
      <xdr:col>255</xdr:col>
      <xdr:colOff>0</xdr:colOff>
      <xdr:row>17</xdr:row>
      <xdr:rowOff>38100</xdr:rowOff>
    </xdr:to>
    <xdr:pic>
      <xdr:nvPicPr>
        <xdr:cNvPr id="18440" name="Picture 4" descr="Rath Logo"/>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675" y="321945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255</xdr:col>
      <xdr:colOff>0</xdr:colOff>
      <xdr:row>2</xdr:row>
      <xdr:rowOff>47625</xdr:rowOff>
    </xdr:from>
    <xdr:to>
      <xdr:col>255</xdr:col>
      <xdr:colOff>0</xdr:colOff>
      <xdr:row>4</xdr:row>
      <xdr:rowOff>95250</xdr:rowOff>
    </xdr:to>
    <xdr:pic>
      <xdr:nvPicPr>
        <xdr:cNvPr id="18441" name="Picture 5" descr="Rath Logo"/>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675" y="6096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255</xdr:col>
      <xdr:colOff>0</xdr:colOff>
      <xdr:row>0</xdr:row>
      <xdr:rowOff>47625</xdr:rowOff>
    </xdr:from>
    <xdr:to>
      <xdr:col>255</xdr:col>
      <xdr:colOff>0</xdr:colOff>
      <xdr:row>1</xdr:row>
      <xdr:rowOff>161925</xdr:rowOff>
    </xdr:to>
    <xdr:pic>
      <xdr:nvPicPr>
        <xdr:cNvPr id="18442" name="Picture 6" descr="Rath Logo"/>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81675" y="47625"/>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323850</xdr:colOff>
      <xdr:row>0</xdr:row>
      <xdr:rowOff>123824</xdr:rowOff>
    </xdr:from>
    <xdr:to>
      <xdr:col>15</xdr:col>
      <xdr:colOff>692965</xdr:colOff>
      <xdr:row>7</xdr:row>
      <xdr:rowOff>140207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5375" y="123824"/>
          <a:ext cx="1550215" cy="15784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2</xdr:row>
      <xdr:rowOff>66675</xdr:rowOff>
    </xdr:from>
    <xdr:to>
      <xdr:col>1</xdr:col>
      <xdr:colOff>657225</xdr:colOff>
      <xdr:row>41</xdr:row>
      <xdr:rowOff>38100</xdr:rowOff>
    </xdr:to>
    <xdr:pic>
      <xdr:nvPicPr>
        <xdr:cNvPr id="12341"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0"/>
          <a:ext cx="2819400" cy="682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1</xdr:col>
      <xdr:colOff>723900</xdr:colOff>
      <xdr:row>40</xdr:row>
      <xdr:rowOff>85725</xdr:rowOff>
    </xdr:to>
    <xdr:pic>
      <xdr:nvPicPr>
        <xdr:cNvPr id="14368"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300"/>
          <a:ext cx="3048000" cy="687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257175</xdr:colOff>
      <xdr:row>162</xdr:row>
      <xdr:rowOff>123825</xdr:rowOff>
    </xdr:from>
    <xdr:to>
      <xdr:col>13</xdr:col>
      <xdr:colOff>666750</xdr:colOff>
      <xdr:row>189</xdr:row>
      <xdr:rowOff>28575</xdr:rowOff>
    </xdr:to>
    <xdr:graphicFrame macro="">
      <xdr:nvGraphicFramePr>
        <xdr:cNvPr id="3217" name="Diagramm 1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514350</xdr:colOff>
      <xdr:row>22</xdr:row>
      <xdr:rowOff>0</xdr:rowOff>
    </xdr:from>
    <xdr:to>
      <xdr:col>13</xdr:col>
      <xdr:colOff>142875</xdr:colOff>
      <xdr:row>31</xdr:row>
      <xdr:rowOff>0</xdr:rowOff>
    </xdr:to>
    <xdr:pic>
      <xdr:nvPicPr>
        <xdr:cNvPr id="3218" name="Picture 13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2275" y="3790950"/>
          <a:ext cx="191452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523875</xdr:colOff>
      <xdr:row>18</xdr:row>
      <xdr:rowOff>142875</xdr:rowOff>
    </xdr:from>
    <xdr:to>
      <xdr:col>19</xdr:col>
      <xdr:colOff>742950</xdr:colOff>
      <xdr:row>35</xdr:row>
      <xdr:rowOff>152400</xdr:rowOff>
    </xdr:to>
    <xdr:graphicFrame macro="">
      <xdr:nvGraphicFramePr>
        <xdr:cNvPr id="3219" name="Diagramm 1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333375</xdr:colOff>
      <xdr:row>4</xdr:row>
      <xdr:rowOff>142875</xdr:rowOff>
    </xdr:from>
    <xdr:to>
      <xdr:col>12</xdr:col>
      <xdr:colOff>657225</xdr:colOff>
      <xdr:row>13</xdr:row>
      <xdr:rowOff>161925</xdr:rowOff>
    </xdr:to>
    <xdr:pic>
      <xdr:nvPicPr>
        <xdr:cNvPr id="3220" name="Picture 14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01300" y="847725"/>
          <a:ext cx="18478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485775</xdr:colOff>
      <xdr:row>1</xdr:row>
      <xdr:rowOff>85725</xdr:rowOff>
    </xdr:from>
    <xdr:to>
      <xdr:col>18</xdr:col>
      <xdr:colOff>314325</xdr:colOff>
      <xdr:row>18</xdr:row>
      <xdr:rowOff>57150</xdr:rowOff>
    </xdr:to>
    <xdr:graphicFrame macro="">
      <xdr:nvGraphicFramePr>
        <xdr:cNvPr id="3221" name="Diagramm 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Z181"/>
  <sheetViews>
    <sheetView showGridLines="0" view="pageBreakPreview" zoomScale="75" zoomScaleNormal="100" zoomScaleSheetLayoutView="100" workbookViewId="0">
      <selection activeCell="A15" sqref="A15:H23"/>
    </sheetView>
  </sheetViews>
  <sheetFormatPr baseColWidth="10" defaultColWidth="0" defaultRowHeight="16.5" customHeight="1" zeroHeight="1" x14ac:dyDescent="0.25"/>
  <cols>
    <col min="1" max="1" width="11.42578125" style="14" customWidth="1"/>
    <col min="2" max="2" width="10.42578125" style="14" customWidth="1"/>
    <col min="3" max="3" width="9.5703125" style="14" customWidth="1"/>
    <col min="4" max="4" width="7.5703125" style="14" customWidth="1"/>
    <col min="5" max="6" width="11.42578125" style="14" customWidth="1"/>
    <col min="7" max="7" width="13" style="14" bestFit="1" customWidth="1"/>
    <col min="8" max="8" width="11.85546875" style="14" customWidth="1"/>
    <col min="9" max="9" width="11.42578125" style="2" hidden="1" customWidth="1"/>
    <col min="10" max="16384" width="0" style="2" hidden="1"/>
  </cols>
  <sheetData>
    <row r="1" spans="1:8" ht="30.75" customHeight="1" x14ac:dyDescent="0.25"/>
    <row r="2" spans="1:8" ht="13.5" x14ac:dyDescent="0.25"/>
    <row r="3" spans="1:8" ht="18" x14ac:dyDescent="0.25">
      <c r="A3" s="439" t="e">
        <f>Berechnung!#REF!</f>
        <v>#REF!</v>
      </c>
      <c r="B3" s="439"/>
      <c r="C3" s="439"/>
      <c r="D3" s="439"/>
      <c r="E3" s="439"/>
      <c r="F3" s="439"/>
      <c r="G3" s="439"/>
      <c r="H3" s="439"/>
    </row>
    <row r="4" spans="1:8" ht="18" x14ac:dyDescent="0.25">
      <c r="A4" s="439" t="e">
        <f>Berechnung!#REF!</f>
        <v>#REF!</v>
      </c>
      <c r="B4" s="439"/>
      <c r="C4" s="439"/>
      <c r="D4" s="439"/>
      <c r="E4" s="439"/>
      <c r="F4" s="439"/>
      <c r="G4" s="439"/>
      <c r="H4" s="439"/>
    </row>
    <row r="5" spans="1:8" ht="35.25" customHeight="1" x14ac:dyDescent="0.25"/>
    <row r="6" spans="1:8" ht="13.5" x14ac:dyDescent="0.25"/>
    <row r="7" spans="1:8" ht="13.5" x14ac:dyDescent="0.25"/>
    <row r="8" spans="1:8" ht="13.5" x14ac:dyDescent="0.25"/>
    <row r="9" spans="1:8" ht="13.5" x14ac:dyDescent="0.25"/>
    <row r="10" spans="1:8" ht="13.5" x14ac:dyDescent="0.25"/>
    <row r="11" spans="1:8" ht="13.5" x14ac:dyDescent="0.25"/>
    <row r="12" spans="1:8" ht="13.5" x14ac:dyDescent="0.25"/>
    <row r="13" spans="1:8" ht="13.5" x14ac:dyDescent="0.25"/>
    <row r="14" spans="1:8" ht="26.25" customHeight="1" x14ac:dyDescent="0.25"/>
    <row r="15" spans="1:8" ht="13.5" customHeight="1" x14ac:dyDescent="0.25">
      <c r="A15" s="438" t="s">
        <v>392</v>
      </c>
      <c r="B15" s="438"/>
      <c r="C15" s="438"/>
      <c r="D15" s="438"/>
      <c r="E15" s="438"/>
      <c r="F15" s="438"/>
      <c r="G15" s="438"/>
      <c r="H15" s="438"/>
    </row>
    <row r="16" spans="1:8" ht="13.5" customHeight="1" x14ac:dyDescent="0.25">
      <c r="A16" s="438"/>
      <c r="B16" s="438"/>
      <c r="C16" s="438"/>
      <c r="D16" s="438"/>
      <c r="E16" s="438"/>
      <c r="F16" s="438"/>
      <c r="G16" s="438"/>
      <c r="H16" s="438"/>
    </row>
    <row r="17" spans="1:8" ht="13.5" customHeight="1" x14ac:dyDescent="0.25">
      <c r="A17" s="438"/>
      <c r="B17" s="438"/>
      <c r="C17" s="438"/>
      <c r="D17" s="438"/>
      <c r="E17" s="438"/>
      <c r="F17" s="438"/>
      <c r="G17" s="438"/>
      <c r="H17" s="438"/>
    </row>
    <row r="18" spans="1:8" ht="13.5" customHeight="1" x14ac:dyDescent="0.25">
      <c r="A18" s="438"/>
      <c r="B18" s="438"/>
      <c r="C18" s="438"/>
      <c r="D18" s="438"/>
      <c r="E18" s="438"/>
      <c r="F18" s="438"/>
      <c r="G18" s="438"/>
      <c r="H18" s="438"/>
    </row>
    <row r="19" spans="1:8" ht="13.5" customHeight="1" x14ac:dyDescent="0.25">
      <c r="A19" s="438"/>
      <c r="B19" s="438"/>
      <c r="C19" s="438"/>
      <c r="D19" s="438"/>
      <c r="E19" s="438"/>
      <c r="F19" s="438"/>
      <c r="G19" s="438"/>
      <c r="H19" s="438"/>
    </row>
    <row r="20" spans="1:8" ht="13.5" customHeight="1" x14ac:dyDescent="0.25">
      <c r="A20" s="438"/>
      <c r="B20" s="438"/>
      <c r="C20" s="438"/>
      <c r="D20" s="438"/>
      <c r="E20" s="438"/>
      <c r="F20" s="438"/>
      <c r="G20" s="438"/>
      <c r="H20" s="438"/>
    </row>
    <row r="21" spans="1:8" ht="13.5" customHeight="1" x14ac:dyDescent="0.25">
      <c r="A21" s="438"/>
      <c r="B21" s="438"/>
      <c r="C21" s="438"/>
      <c r="D21" s="438"/>
      <c r="E21" s="438"/>
      <c r="F21" s="438"/>
      <c r="G21" s="438"/>
      <c r="H21" s="438"/>
    </row>
    <row r="22" spans="1:8" ht="13.5" customHeight="1" x14ac:dyDescent="0.25">
      <c r="A22" s="438"/>
      <c r="B22" s="438"/>
      <c r="C22" s="438"/>
      <c r="D22" s="438"/>
      <c r="E22" s="438"/>
      <c r="F22" s="438"/>
      <c r="G22" s="438"/>
      <c r="H22" s="438"/>
    </row>
    <row r="23" spans="1:8" ht="17.25" customHeight="1" x14ac:dyDescent="0.25">
      <c r="A23" s="438"/>
      <c r="B23" s="438"/>
      <c r="C23" s="438"/>
      <c r="D23" s="438"/>
      <c r="E23" s="438"/>
      <c r="F23" s="438"/>
      <c r="G23" s="438"/>
      <c r="H23" s="438"/>
    </row>
    <row r="24" spans="1:8" ht="13.5" x14ac:dyDescent="0.25"/>
    <row r="25" spans="1:8" ht="13.5" x14ac:dyDescent="0.25"/>
    <row r="26" spans="1:8" ht="13.5" x14ac:dyDescent="0.25"/>
    <row r="27" spans="1:8" ht="21" x14ac:dyDescent="0.25">
      <c r="A27" s="287" t="s">
        <v>338</v>
      </c>
      <c r="B27" s="287"/>
      <c r="C27" s="287"/>
      <c r="D27" s="287"/>
      <c r="E27" s="441" t="str">
        <f>Berechnung!$B$25</f>
        <v>Brennraum</v>
      </c>
      <c r="F27" s="441"/>
      <c r="G27" s="441"/>
      <c r="H27" s="441"/>
    </row>
    <row r="28" spans="1:8" ht="13.5" x14ac:dyDescent="0.25"/>
    <row r="29" spans="1:8" ht="13.5" x14ac:dyDescent="0.25"/>
    <row r="30" spans="1:8" ht="13.5" x14ac:dyDescent="0.25">
      <c r="A30" s="446" t="s">
        <v>421</v>
      </c>
      <c r="B30" s="446"/>
      <c r="C30" s="446"/>
      <c r="D30" s="446"/>
      <c r="E30" s="446"/>
      <c r="F30" s="446"/>
      <c r="G30" s="446"/>
      <c r="H30" s="446"/>
    </row>
    <row r="31" spans="1:8" ht="13.5" x14ac:dyDescent="0.25"/>
    <row r="32" spans="1:8" ht="13.5" x14ac:dyDescent="0.25"/>
    <row r="33" spans="1:8" ht="13.5" x14ac:dyDescent="0.25"/>
    <row r="34" spans="1:8" ht="13.5" x14ac:dyDescent="0.25"/>
    <row r="35" spans="1:8" ht="13.5" x14ac:dyDescent="0.25"/>
    <row r="36" spans="1:8" ht="13.5" x14ac:dyDescent="0.25"/>
    <row r="37" spans="1:8" ht="13.5" x14ac:dyDescent="0.25"/>
    <row r="38" spans="1:8" ht="13.5" x14ac:dyDescent="0.25"/>
    <row r="39" spans="1:8" ht="13.5" x14ac:dyDescent="0.25"/>
    <row r="40" spans="1:8" ht="13.5" x14ac:dyDescent="0.25"/>
    <row r="41" spans="1:8" ht="13.5" x14ac:dyDescent="0.25"/>
    <row r="42" spans="1:8" ht="13.5" x14ac:dyDescent="0.25"/>
    <row r="43" spans="1:8" ht="13.5" x14ac:dyDescent="0.25"/>
    <row r="44" spans="1:8" ht="13.5" x14ac:dyDescent="0.25"/>
    <row r="45" spans="1:8" ht="13.5" x14ac:dyDescent="0.25"/>
    <row r="46" spans="1:8" s="278" customFormat="1" x14ac:dyDescent="0.3">
      <c r="A46" s="444" t="s">
        <v>339</v>
      </c>
      <c r="B46" s="444"/>
      <c r="C46" s="444"/>
      <c r="D46" s="444"/>
      <c r="E46" s="444"/>
      <c r="F46" s="444"/>
      <c r="G46" s="444"/>
      <c r="H46" s="444"/>
    </row>
    <row r="47" spans="1:8" s="278" customFormat="1" x14ac:dyDescent="0.3">
      <c r="A47" s="289"/>
      <c r="B47" s="289"/>
      <c r="C47" s="289"/>
      <c r="D47" s="289"/>
      <c r="E47" s="289"/>
      <c r="F47" s="289"/>
      <c r="G47" s="289"/>
      <c r="H47" s="289"/>
    </row>
    <row r="48" spans="1:8" s="278" customFormat="1" x14ac:dyDescent="0.3">
      <c r="A48" s="289"/>
      <c r="B48" s="289"/>
      <c r="C48" s="289"/>
      <c r="D48" s="289"/>
      <c r="E48" s="289"/>
      <c r="F48" s="289"/>
      <c r="G48" s="289"/>
      <c r="H48" s="289"/>
    </row>
    <row r="49" spans="1:8" s="278" customFormat="1" x14ac:dyDescent="0.3">
      <c r="A49" s="289"/>
      <c r="B49" s="289"/>
      <c r="C49" s="289"/>
      <c r="D49" s="289"/>
      <c r="E49" s="289"/>
      <c r="F49" s="289"/>
      <c r="G49" s="289"/>
      <c r="H49" s="289"/>
    </row>
    <row r="50" spans="1:8" s="278" customFormat="1" ht="33" customHeight="1" x14ac:dyDescent="0.3">
      <c r="A50" s="445" t="str">
        <f>IF(E27="Quickbrick BR","Ihr Kachelofen ist nach dem neuseten Stand der Technik errichtet worden und ist daher besonders umweltfreundlich.","Ihr Kachelofen ist mit einem BIOFEUERRAUM ausgestattet und ist daher besonders umweltfreundlich.")</f>
        <v>Ihr Kachelofen ist mit einem BIOFEUERRAUM ausgestattet und ist daher besonders umweltfreundlich.</v>
      </c>
      <c r="B50" s="445"/>
      <c r="C50" s="445"/>
      <c r="D50" s="445"/>
      <c r="E50" s="445"/>
      <c r="F50" s="445"/>
      <c r="G50" s="445"/>
      <c r="H50" s="445"/>
    </row>
    <row r="51" spans="1:8" s="278" customFormat="1" ht="16.5" customHeight="1" x14ac:dyDescent="0.3">
      <c r="A51" s="440" t="s">
        <v>340</v>
      </c>
      <c r="B51" s="440"/>
      <c r="C51" s="440"/>
      <c r="D51" s="440"/>
      <c r="E51" s="440"/>
      <c r="F51" s="440"/>
      <c r="G51" s="440"/>
      <c r="H51" s="440"/>
    </row>
    <row r="52" spans="1:8" s="278" customFormat="1" ht="33" customHeight="1" x14ac:dyDescent="0.3">
      <c r="A52" s="442" t="s">
        <v>341</v>
      </c>
      <c r="B52" s="442"/>
      <c r="C52" s="442"/>
      <c r="D52" s="442"/>
      <c r="E52" s="442"/>
      <c r="F52" s="442"/>
      <c r="G52" s="442"/>
      <c r="H52" s="442"/>
    </row>
    <row r="53" spans="1:8" ht="14.1" customHeight="1" x14ac:dyDescent="0.25"/>
    <row r="54" spans="1:8" s="278" customFormat="1" ht="18.75" x14ac:dyDescent="0.3">
      <c r="A54" s="443" t="s">
        <v>342</v>
      </c>
      <c r="B54" s="443"/>
      <c r="C54" s="289"/>
      <c r="D54" s="289"/>
      <c r="E54" s="289"/>
      <c r="F54" s="289"/>
      <c r="G54" s="289"/>
      <c r="H54" s="289"/>
    </row>
    <row r="55" spans="1:8" ht="14.1" customHeight="1" x14ac:dyDescent="0.25"/>
    <row r="56" spans="1:8" ht="16.5" customHeight="1" x14ac:dyDescent="0.25">
      <c r="A56" s="440" t="s">
        <v>343</v>
      </c>
      <c r="B56" s="440"/>
      <c r="C56" s="440"/>
      <c r="D56" s="440"/>
      <c r="E56" s="440"/>
      <c r="F56" s="440"/>
      <c r="G56" s="440"/>
      <c r="H56" s="440"/>
    </row>
    <row r="57" spans="1:8" ht="14.1" customHeight="1" x14ac:dyDescent="0.25"/>
    <row r="58" spans="1:8" ht="16.5" customHeight="1" x14ac:dyDescent="0.25">
      <c r="A58" s="447" t="s">
        <v>344</v>
      </c>
      <c r="B58" s="447"/>
    </row>
    <row r="59" spans="1:8" ht="14.1" customHeight="1" x14ac:dyDescent="0.25"/>
    <row r="60" spans="1:8" ht="16.5" customHeight="1" x14ac:dyDescent="0.25">
      <c r="A60" s="445" t="s">
        <v>345</v>
      </c>
      <c r="B60" s="445"/>
      <c r="C60" s="445"/>
      <c r="D60" s="445"/>
      <c r="E60" s="445"/>
      <c r="F60" s="445"/>
      <c r="G60" s="445"/>
      <c r="H60" s="445"/>
    </row>
    <row r="61" spans="1:8" ht="16.5" customHeight="1" x14ac:dyDescent="0.25">
      <c r="A61" s="445"/>
      <c r="B61" s="445"/>
      <c r="C61" s="445"/>
      <c r="D61" s="445"/>
      <c r="E61" s="445"/>
      <c r="F61" s="445"/>
      <c r="G61" s="445"/>
      <c r="H61" s="445"/>
    </row>
    <row r="62" spans="1:8" ht="16.5" customHeight="1" x14ac:dyDescent="0.25">
      <c r="A62" s="445"/>
      <c r="B62" s="445"/>
      <c r="C62" s="445"/>
      <c r="D62" s="445"/>
      <c r="E62" s="445"/>
      <c r="F62" s="445"/>
      <c r="G62" s="445"/>
      <c r="H62" s="445"/>
    </row>
    <row r="63" spans="1:8" ht="18.75" customHeight="1" x14ac:dyDescent="0.25">
      <c r="A63" s="445"/>
      <c r="B63" s="445"/>
      <c r="C63" s="445"/>
      <c r="D63" s="445"/>
      <c r="E63" s="445"/>
      <c r="F63" s="445"/>
      <c r="G63" s="445"/>
      <c r="H63" s="445"/>
    </row>
    <row r="64" spans="1:8" ht="14.1" customHeight="1" x14ac:dyDescent="0.25"/>
    <row r="65" spans="1:26" ht="16.5" customHeight="1" x14ac:dyDescent="0.25">
      <c r="A65" s="290" t="s">
        <v>346</v>
      </c>
    </row>
    <row r="66" spans="1:26" ht="14.1" customHeight="1" x14ac:dyDescent="0.25"/>
    <row r="67" spans="1:26" ht="16.5" customHeight="1" x14ac:dyDescent="0.25">
      <c r="A67" s="445" t="s">
        <v>347</v>
      </c>
      <c r="B67" s="445"/>
      <c r="C67" s="445"/>
      <c r="D67" s="445"/>
      <c r="E67" s="445"/>
      <c r="F67" s="445"/>
      <c r="G67" s="445"/>
      <c r="H67" s="445"/>
    </row>
    <row r="68" spans="1:26" ht="24.75" customHeight="1" x14ac:dyDescent="0.25">
      <c r="A68" s="445"/>
      <c r="B68" s="445"/>
      <c r="C68" s="445"/>
      <c r="D68" s="445"/>
      <c r="E68" s="445"/>
      <c r="F68" s="445"/>
      <c r="G68" s="445"/>
      <c r="H68" s="445"/>
    </row>
    <row r="69" spans="1:26" ht="16.5" customHeight="1" x14ac:dyDescent="0.25">
      <c r="A69" s="442" t="s">
        <v>389</v>
      </c>
      <c r="B69" s="445"/>
      <c r="C69" s="445"/>
      <c r="D69" s="445"/>
      <c r="E69" s="445"/>
      <c r="F69" s="445"/>
      <c r="G69" s="445"/>
      <c r="H69" s="445"/>
    </row>
    <row r="70" spans="1:26" ht="16.5" customHeight="1" x14ac:dyDescent="0.25">
      <c r="A70" s="445"/>
      <c r="B70" s="445"/>
      <c r="C70" s="445"/>
      <c r="D70" s="445"/>
      <c r="E70" s="445"/>
      <c r="F70" s="445"/>
      <c r="G70" s="445"/>
      <c r="H70" s="445"/>
    </row>
    <row r="71" spans="1:26" ht="27.75" customHeight="1" x14ac:dyDescent="0.25">
      <c r="A71" s="445"/>
      <c r="B71" s="445"/>
      <c r="C71" s="445"/>
      <c r="D71" s="445"/>
      <c r="E71" s="445"/>
      <c r="F71" s="445"/>
      <c r="G71" s="445"/>
      <c r="H71" s="445"/>
    </row>
    <row r="72" spans="1:26" ht="14.1" customHeight="1" x14ac:dyDescent="0.25"/>
    <row r="73" spans="1:26" ht="16.5" customHeight="1" x14ac:dyDescent="0.25">
      <c r="A73" s="443" t="s">
        <v>348</v>
      </c>
      <c r="B73" s="443"/>
    </row>
    <row r="74" spans="1:26" ht="14.1" customHeight="1" x14ac:dyDescent="0.25"/>
    <row r="75" spans="1:26" ht="16.5" customHeight="1" x14ac:dyDescent="0.25">
      <c r="A75" s="14" t="s">
        <v>349</v>
      </c>
    </row>
    <row r="76" spans="1:26" ht="14.1" customHeight="1" x14ac:dyDescent="0.25">
      <c r="A76" s="450" t="str">
        <f>REPLACE(J76,64,1,Berechnung!F11)</f>
        <v>Diese erreichen Sie, wenn Sie jeweils eine Brennstoffmenge von 11,1 kg (bei Holzbriketts 15% weniger!) in Intervallen von 12 Stunden nachlegen (Vollast).</v>
      </c>
      <c r="B76" s="450"/>
      <c r="C76" s="450"/>
      <c r="D76" s="450"/>
      <c r="E76" s="450"/>
      <c r="F76" s="450"/>
      <c r="G76" s="450"/>
      <c r="H76" s="450"/>
      <c r="J76" s="454" t="str">
        <f>REPLACE(S76,120,1,Berechnung!C4)</f>
        <v>Diese erreichen Sie, wenn Sie jeweils eine Brennstoffmenge von   kg (bei Holzbriketts 15% weniger!) in Intervallen von 12 Stunden nachlegen (Vollast).</v>
      </c>
      <c r="K76" s="454"/>
      <c r="L76" s="454"/>
      <c r="M76" s="454"/>
      <c r="N76" s="454"/>
      <c r="O76" s="454"/>
      <c r="P76" s="454"/>
      <c r="Q76" s="454"/>
      <c r="S76" s="453" t="s">
        <v>353</v>
      </c>
      <c r="T76" s="453"/>
      <c r="U76" s="453"/>
      <c r="V76" s="453"/>
      <c r="W76" s="453"/>
      <c r="X76" s="453"/>
      <c r="Y76" s="453"/>
      <c r="Z76" s="453"/>
    </row>
    <row r="77" spans="1:26" ht="14.1" customHeight="1" x14ac:dyDescent="0.25">
      <c r="A77" s="450"/>
      <c r="B77" s="450"/>
      <c r="C77" s="450"/>
      <c r="D77" s="450"/>
      <c r="E77" s="450"/>
      <c r="F77" s="450"/>
      <c r="G77" s="450"/>
      <c r="H77" s="450"/>
      <c r="J77" s="454"/>
      <c r="K77" s="454"/>
      <c r="L77" s="454"/>
      <c r="M77" s="454"/>
      <c r="N77" s="454"/>
      <c r="O77" s="454"/>
      <c r="P77" s="454"/>
      <c r="Q77" s="454"/>
      <c r="S77" s="453"/>
      <c r="T77" s="453"/>
      <c r="U77" s="453"/>
      <c r="V77" s="453"/>
      <c r="W77" s="453"/>
      <c r="X77" s="453"/>
      <c r="Y77" s="453"/>
      <c r="Z77" s="453"/>
    </row>
    <row r="78" spans="1:26" ht="14.1" customHeight="1" x14ac:dyDescent="0.25">
      <c r="A78" s="448" t="str">
        <f>REPLACE(J78,27,1,Berechnung!C3)</f>
        <v>Die Nennwärmeleistung von 3 kW kann im Bedarfsfall vermindert werden.</v>
      </c>
      <c r="B78" s="448"/>
      <c r="C78" s="448"/>
      <c r="D78" s="448"/>
      <c r="E78" s="448"/>
      <c r="F78" s="448"/>
      <c r="G78" s="448"/>
      <c r="H78" s="448"/>
      <c r="J78" s="449" t="s">
        <v>350</v>
      </c>
      <c r="K78" s="449"/>
      <c r="L78" s="449"/>
      <c r="M78" s="449"/>
      <c r="N78" s="449"/>
      <c r="O78" s="449"/>
      <c r="P78" s="449"/>
      <c r="Q78" s="449"/>
    </row>
    <row r="79" spans="1:26" ht="16.5" customHeight="1" x14ac:dyDescent="0.25">
      <c r="A79" s="445" t="str">
        <f>REPLACE(J79,36,1,Berechnung!F12)</f>
        <v>Die Minimalmenge an Brennstoff von 5,55 kg darf nicht unterschritten, ebenso die Volllastmenge nicht überschritten werden, da sonst die Funktion Ihres Kachelofens nicht mehr gewährleistet ist.</v>
      </c>
      <c r="B79" s="445"/>
      <c r="C79" s="445"/>
      <c r="D79" s="445"/>
      <c r="E79" s="445"/>
      <c r="F79" s="445"/>
      <c r="G79" s="445"/>
      <c r="H79" s="445"/>
      <c r="J79" s="453" t="s">
        <v>351</v>
      </c>
      <c r="K79" s="453"/>
      <c r="L79" s="453"/>
      <c r="M79" s="453"/>
      <c r="N79" s="453"/>
      <c r="O79" s="453"/>
      <c r="P79" s="453"/>
      <c r="Q79" s="453"/>
    </row>
    <row r="80" spans="1:26" ht="23.25" customHeight="1" x14ac:dyDescent="0.25">
      <c r="A80" s="445"/>
      <c r="B80" s="445"/>
      <c r="C80" s="445"/>
      <c r="D80" s="445"/>
      <c r="E80" s="445"/>
      <c r="F80" s="445"/>
      <c r="G80" s="445"/>
      <c r="H80" s="445"/>
      <c r="J80" s="453"/>
      <c r="K80" s="453"/>
      <c r="L80" s="453"/>
      <c r="M80" s="453"/>
      <c r="N80" s="453"/>
      <c r="O80" s="453"/>
      <c r="P80" s="453"/>
      <c r="Q80" s="453"/>
    </row>
    <row r="81" spans="1:8" ht="14.1" customHeight="1" x14ac:dyDescent="0.25"/>
    <row r="82" spans="1:8" ht="16.5" customHeight="1" x14ac:dyDescent="0.25">
      <c r="A82" s="443" t="s">
        <v>352</v>
      </c>
      <c r="B82" s="443"/>
      <c r="C82" s="443"/>
      <c r="D82" s="443"/>
      <c r="E82" s="443"/>
    </row>
    <row r="83" spans="1:8" ht="14.1" customHeight="1" x14ac:dyDescent="0.25"/>
    <row r="84" spans="1:8" ht="16.5" customHeight="1" x14ac:dyDescent="0.25">
      <c r="A84" s="452" t="s">
        <v>356</v>
      </c>
      <c r="B84" s="452"/>
      <c r="C84" s="452"/>
      <c r="D84" s="452"/>
      <c r="E84" s="452"/>
      <c r="F84" s="452"/>
      <c r="G84" s="452"/>
      <c r="H84" s="452"/>
    </row>
    <row r="85" spans="1:8" ht="16.5" customHeight="1" x14ac:dyDescent="0.25">
      <c r="A85" s="452"/>
      <c r="B85" s="452"/>
      <c r="C85" s="452"/>
      <c r="D85" s="452"/>
      <c r="E85" s="452"/>
      <c r="F85" s="452"/>
      <c r="G85" s="452"/>
      <c r="H85" s="452"/>
    </row>
    <row r="86" spans="1:8" ht="16.5" customHeight="1" x14ac:dyDescent="0.25">
      <c r="A86" s="452"/>
      <c r="B86" s="452"/>
      <c r="C86" s="452"/>
      <c r="D86" s="452"/>
      <c r="E86" s="452"/>
      <c r="F86" s="452"/>
      <c r="G86" s="452"/>
      <c r="H86" s="452"/>
    </row>
    <row r="87" spans="1:8" ht="16.5" customHeight="1" x14ac:dyDescent="0.25">
      <c r="A87" s="452"/>
      <c r="B87" s="452"/>
      <c r="C87" s="452"/>
      <c r="D87" s="452"/>
      <c r="E87" s="452"/>
      <c r="F87" s="452"/>
      <c r="G87" s="452"/>
      <c r="H87" s="452"/>
    </row>
    <row r="88" spans="1:8" ht="16.5" customHeight="1" x14ac:dyDescent="0.25">
      <c r="A88" s="452"/>
      <c r="B88" s="452"/>
      <c r="C88" s="452"/>
      <c r="D88" s="452"/>
      <c r="E88" s="452"/>
      <c r="F88" s="452"/>
      <c r="G88" s="452"/>
      <c r="H88" s="452"/>
    </row>
    <row r="89" spans="1:8" ht="16.5" customHeight="1" x14ac:dyDescent="0.25">
      <c r="A89" s="452"/>
      <c r="B89" s="452"/>
      <c r="C89" s="452"/>
      <c r="D89" s="452"/>
      <c r="E89" s="452"/>
      <c r="F89" s="452"/>
      <c r="G89" s="452"/>
      <c r="H89" s="452"/>
    </row>
    <row r="90" spans="1:8" ht="27.95" customHeight="1" x14ac:dyDescent="0.25">
      <c r="A90" s="445" t="s">
        <v>354</v>
      </c>
      <c r="B90" s="445"/>
      <c r="C90" s="445"/>
      <c r="D90" s="445"/>
      <c r="E90" s="445"/>
      <c r="F90" s="445"/>
      <c r="G90" s="445"/>
      <c r="H90" s="445"/>
    </row>
    <row r="91" spans="1:8" ht="14.1" customHeight="1" x14ac:dyDescent="0.25"/>
    <row r="92" spans="1:8" ht="16.5" customHeight="1" x14ac:dyDescent="0.25">
      <c r="A92" s="443" t="s">
        <v>355</v>
      </c>
      <c r="B92" s="443"/>
      <c r="C92" s="13"/>
      <c r="D92" s="13"/>
      <c r="E92" s="13"/>
    </row>
    <row r="93" spans="1:8" ht="14.1" customHeight="1" x14ac:dyDescent="0.25"/>
    <row r="94" spans="1:8" ht="16.5" customHeight="1" x14ac:dyDescent="0.25">
      <c r="A94" s="290" t="s">
        <v>357</v>
      </c>
      <c r="B94" s="46"/>
      <c r="C94" s="46"/>
      <c r="D94" s="46"/>
      <c r="E94" s="46"/>
      <c r="F94" s="46"/>
      <c r="G94" s="46"/>
      <c r="H94" s="46"/>
    </row>
    <row r="95" spans="1:8" ht="14.1" customHeight="1" x14ac:dyDescent="0.25">
      <c r="A95" s="46"/>
      <c r="B95" s="46"/>
      <c r="C95" s="46"/>
      <c r="D95" s="46"/>
      <c r="E95" s="46"/>
      <c r="F95" s="46"/>
      <c r="G95" s="46"/>
      <c r="H95" s="46"/>
    </row>
    <row r="96" spans="1:8" ht="16.5" customHeight="1" x14ac:dyDescent="0.25">
      <c r="A96" s="452" t="str">
        <f>IF(E27="Quickbrick BR","Um das Holz rasch in einen einwandfreien Verbrennungszustand überzuführen, sollten Sie den Brennstoff laut Abbildung kreuzweise aufschlichten.","Die obere, größere Tür dient ausschließlich der Befüllung des Brennraumes mit Brennstoff und dem Anzünden. Um das Holz rasch in einen einwandfreien Verbrennungszustand überzuführen, sollten Sie den Brennstoff laut Abbildung kreuzweise aufschlichten.")</f>
        <v>Die obere, größere Tür dient ausschließlich der Befüllung des Brennraumes mit Brennstoff und dem Anzünden. Um das Holz rasch in einen einwandfreien Verbrennungszustand überzuführen, sollten Sie den Brennstoff laut Abbildung kreuzweise aufschlichten.</v>
      </c>
      <c r="B96" s="452"/>
      <c r="C96" s="452"/>
      <c r="D96" s="452"/>
      <c r="E96" s="452"/>
      <c r="F96" s="452"/>
      <c r="G96" s="452"/>
      <c r="H96" s="452"/>
    </row>
    <row r="97" spans="1:8" ht="8.25" customHeight="1" x14ac:dyDescent="0.25">
      <c r="A97" s="452"/>
      <c r="B97" s="452"/>
      <c r="C97" s="452"/>
      <c r="D97" s="452"/>
      <c r="E97" s="452"/>
      <c r="F97" s="452"/>
      <c r="G97" s="452"/>
      <c r="H97" s="452"/>
    </row>
    <row r="98" spans="1:8" ht="16.5" customHeight="1" x14ac:dyDescent="0.25">
      <c r="A98" s="452"/>
      <c r="B98" s="452"/>
      <c r="C98" s="452"/>
      <c r="D98" s="452"/>
      <c r="E98" s="452"/>
      <c r="F98" s="452"/>
      <c r="G98" s="452"/>
      <c r="H98" s="452"/>
    </row>
    <row r="99" spans="1:8" ht="16.5" customHeight="1" x14ac:dyDescent="0.25"/>
    <row r="100" spans="1:8" ht="16.5" customHeight="1" x14ac:dyDescent="0.25"/>
    <row r="101" spans="1:8" ht="16.5" customHeight="1" x14ac:dyDescent="0.25"/>
    <row r="102" spans="1:8" ht="16.5" customHeight="1" x14ac:dyDescent="0.25"/>
    <row r="103" spans="1:8" ht="16.5" customHeight="1" x14ac:dyDescent="0.25"/>
    <row r="104" spans="1:8" ht="16.5" customHeight="1" x14ac:dyDescent="0.25"/>
    <row r="105" spans="1:8" ht="16.5" customHeight="1" x14ac:dyDescent="0.25"/>
    <row r="106" spans="1:8" ht="16.5" customHeight="1" x14ac:dyDescent="0.25"/>
    <row r="107" spans="1:8" ht="16.5" customHeight="1" x14ac:dyDescent="0.25"/>
    <row r="108" spans="1:8" ht="16.5" customHeight="1" x14ac:dyDescent="0.25"/>
    <row r="109" spans="1:8" ht="16.5" customHeight="1" x14ac:dyDescent="0.25">
      <c r="A109" s="450" t="s">
        <v>358</v>
      </c>
      <c r="B109" s="450"/>
      <c r="C109" s="450"/>
      <c r="D109" s="450"/>
      <c r="E109" s="450"/>
      <c r="F109" s="450"/>
      <c r="G109" s="450"/>
      <c r="H109" s="450"/>
    </row>
    <row r="110" spans="1:8" ht="16.5" customHeight="1" x14ac:dyDescent="0.25">
      <c r="A110" s="450"/>
      <c r="B110" s="450"/>
      <c r="C110" s="450"/>
      <c r="D110" s="450"/>
      <c r="E110" s="450"/>
      <c r="F110" s="450"/>
      <c r="G110" s="450"/>
      <c r="H110" s="450"/>
    </row>
    <row r="111" spans="1:8" ht="21" customHeight="1" x14ac:dyDescent="0.25">
      <c r="A111" s="450"/>
      <c r="B111" s="450"/>
      <c r="C111" s="450"/>
      <c r="D111" s="450"/>
      <c r="E111" s="450"/>
      <c r="F111" s="450"/>
      <c r="G111" s="450"/>
      <c r="H111" s="450"/>
    </row>
    <row r="112" spans="1:8" ht="16.5" customHeight="1" x14ac:dyDescent="0.25">
      <c r="A112" s="450"/>
      <c r="B112" s="450"/>
      <c r="C112" s="450"/>
      <c r="D112" s="450"/>
      <c r="E112" s="450"/>
      <c r="F112" s="450"/>
      <c r="G112" s="450"/>
      <c r="H112" s="450"/>
    </row>
    <row r="113" spans="1:18" ht="14.1" customHeight="1" x14ac:dyDescent="0.25">
      <c r="A113" s="445" t="str">
        <f>IF(E27="Quickbrick BR","Nach erfolgtem Anheizen muß das Spritzgitter oder Stehrost geschlossen werde. Die Heiztür bleibt offen.","Vor dem Anheizen und während des Verbrennungsvorganges muß die Luftführungstüre offen sein.")</f>
        <v>Vor dem Anheizen und während des Verbrennungsvorganges muß die Luftführungstüre offen sein.</v>
      </c>
      <c r="B113" s="445"/>
      <c r="C113" s="445"/>
      <c r="D113" s="445"/>
      <c r="E113" s="445"/>
      <c r="F113" s="445"/>
      <c r="G113" s="445"/>
      <c r="H113" s="445"/>
      <c r="J113" s="451"/>
      <c r="K113" s="451"/>
      <c r="L113" s="451"/>
      <c r="M113" s="451"/>
      <c r="N113" s="451"/>
      <c r="O113" s="451"/>
      <c r="P113" s="451"/>
      <c r="Q113" s="451"/>
    </row>
    <row r="114" spans="1:18" ht="14.1" customHeight="1" x14ac:dyDescent="0.25">
      <c r="A114" s="445"/>
      <c r="B114" s="445"/>
      <c r="C114" s="445"/>
      <c r="D114" s="445"/>
      <c r="E114" s="445"/>
      <c r="F114" s="445"/>
      <c r="G114" s="445"/>
      <c r="H114" s="445"/>
      <c r="J114" s="451"/>
      <c r="K114" s="451"/>
      <c r="L114" s="451"/>
      <c r="M114" s="451"/>
      <c r="N114" s="451"/>
      <c r="O114" s="451"/>
      <c r="P114" s="451"/>
      <c r="Q114" s="451"/>
    </row>
    <row r="115" spans="1:18" ht="14.1" customHeight="1" x14ac:dyDescent="0.25">
      <c r="J115" s="451"/>
      <c r="K115" s="451"/>
      <c r="L115" s="451"/>
      <c r="M115" s="451"/>
      <c r="N115" s="451"/>
      <c r="O115" s="451"/>
      <c r="P115" s="451"/>
      <c r="Q115" s="451"/>
    </row>
    <row r="116" spans="1:18" ht="16.5" customHeight="1" x14ac:dyDescent="0.25">
      <c r="A116" s="290" t="s">
        <v>359</v>
      </c>
    </row>
    <row r="117" spans="1:18" ht="14.1" customHeight="1" x14ac:dyDescent="0.25"/>
    <row r="118" spans="1:18" ht="16.5" customHeight="1" x14ac:dyDescent="0.25">
      <c r="A118" s="450" t="s">
        <v>360</v>
      </c>
      <c r="B118" s="450"/>
      <c r="C118" s="450"/>
      <c r="D118" s="450"/>
      <c r="E118" s="450"/>
      <c r="F118" s="450"/>
      <c r="G118" s="450"/>
      <c r="H118" s="450"/>
      <c r="J118" s="451"/>
      <c r="K118" s="451"/>
      <c r="L118" s="451"/>
      <c r="M118" s="451"/>
      <c r="N118" s="451"/>
      <c r="O118" s="451"/>
      <c r="P118" s="451"/>
      <c r="Q118" s="451"/>
    </row>
    <row r="119" spans="1:18" ht="9.75" customHeight="1" x14ac:dyDescent="0.25">
      <c r="A119" s="450"/>
      <c r="B119" s="450"/>
      <c r="C119" s="450"/>
      <c r="D119" s="450"/>
      <c r="E119" s="450"/>
      <c r="F119" s="450"/>
      <c r="G119" s="450"/>
      <c r="H119" s="450"/>
      <c r="J119" s="451"/>
      <c r="K119" s="451"/>
      <c r="L119" s="451"/>
      <c r="M119" s="451"/>
      <c r="N119" s="451"/>
      <c r="O119" s="451"/>
      <c r="P119" s="451"/>
      <c r="Q119" s="451"/>
    </row>
    <row r="120" spans="1:18" ht="13.5" customHeight="1" x14ac:dyDescent="0.25">
      <c r="A120" s="450"/>
      <c r="B120" s="450"/>
      <c r="C120" s="450"/>
      <c r="D120" s="450"/>
      <c r="E120" s="450"/>
      <c r="F120" s="450"/>
      <c r="G120" s="450"/>
      <c r="H120" s="450"/>
      <c r="J120" s="451"/>
      <c r="K120" s="451"/>
      <c r="L120" s="451"/>
      <c r="M120" s="451"/>
      <c r="N120" s="451"/>
      <c r="O120" s="451"/>
      <c r="P120" s="451"/>
      <c r="Q120" s="451"/>
    </row>
    <row r="121" spans="1:18" ht="16.5" customHeight="1" x14ac:dyDescent="0.25">
      <c r="A121" s="452" t="str">
        <f>IF(E27="Quickbrick BR","Nun erst dürfen Sie die Heiztüre schließen und verriegeln.","Nun erst dürfen Sie die Luftführungstüre schließen und verriegeln.")</f>
        <v>Nun erst dürfen Sie die Luftführungstüre schließen und verriegeln.</v>
      </c>
      <c r="B121" s="452"/>
      <c r="C121" s="452"/>
      <c r="D121" s="452"/>
      <c r="E121" s="452"/>
      <c r="F121" s="452"/>
      <c r="G121" s="452"/>
      <c r="H121" s="452"/>
    </row>
    <row r="122" spans="1:18" ht="14.1" customHeight="1" x14ac:dyDescent="0.25">
      <c r="A122" s="291"/>
      <c r="B122" s="291"/>
      <c r="C122" s="291"/>
      <c r="D122" s="291"/>
      <c r="E122" s="291"/>
      <c r="F122" s="291"/>
      <c r="G122" s="291"/>
      <c r="H122" s="291"/>
    </row>
    <row r="123" spans="1:18" ht="16.5" customHeight="1" x14ac:dyDescent="0.25">
      <c r="A123" s="447" t="s">
        <v>361</v>
      </c>
      <c r="B123" s="447"/>
      <c r="C123" s="291"/>
      <c r="D123" s="291"/>
      <c r="E123" s="291"/>
      <c r="F123" s="291"/>
      <c r="G123" s="291"/>
      <c r="H123" s="291"/>
    </row>
    <row r="124" spans="1:18" ht="14.1" customHeight="1" x14ac:dyDescent="0.25">
      <c r="A124" s="291"/>
      <c r="B124" s="291"/>
      <c r="C124" s="291"/>
      <c r="D124" s="291"/>
      <c r="E124" s="291"/>
      <c r="F124" s="291"/>
      <c r="G124" s="291"/>
      <c r="H124" s="291"/>
    </row>
    <row r="125" spans="1:18" ht="16.5" customHeight="1" x14ac:dyDescent="0.25">
      <c r="A125" s="440" t="str">
        <f>IF(E27="Quickbrick BR",REPLACE(J125,60,1,Berechnung!C4),REPLACE(R125,68,1,Berechnung!C4))</f>
        <v>Öffnen Sie die Luftführungstüre Ihres Kachelofens erst wieder nach 12  Stunden.</v>
      </c>
      <c r="B125" s="440"/>
      <c r="C125" s="440"/>
      <c r="D125" s="440"/>
      <c r="E125" s="440"/>
      <c r="F125" s="440"/>
      <c r="G125" s="440"/>
      <c r="H125" s="440"/>
      <c r="J125" s="449" t="s">
        <v>362</v>
      </c>
      <c r="K125" s="449"/>
      <c r="L125" s="449"/>
      <c r="M125" s="449"/>
      <c r="N125" s="449"/>
      <c r="O125" s="449"/>
      <c r="P125" s="449"/>
      <c r="Q125" s="449"/>
      <c r="R125" s="2" t="s">
        <v>363</v>
      </c>
    </row>
    <row r="126" spans="1:18" ht="16.5" customHeight="1" x14ac:dyDescent="0.25">
      <c r="A126" s="448" t="s">
        <v>364</v>
      </c>
      <c r="B126" s="448"/>
      <c r="C126" s="448"/>
      <c r="D126" s="448"/>
      <c r="E126" s="448"/>
      <c r="F126" s="448"/>
      <c r="G126" s="448"/>
      <c r="H126" s="448"/>
    </row>
    <row r="127" spans="1:18" ht="14.1" customHeight="1" x14ac:dyDescent="0.25"/>
    <row r="128" spans="1:18" ht="16.5" customHeight="1" x14ac:dyDescent="0.25">
      <c r="A128" s="447" t="s">
        <v>365</v>
      </c>
      <c r="B128" s="447"/>
    </row>
    <row r="129" spans="1:8" ht="14.1" customHeight="1" x14ac:dyDescent="0.25"/>
    <row r="130" spans="1:8" ht="16.5" customHeight="1" x14ac:dyDescent="0.25">
      <c r="A130" s="452" t="s">
        <v>366</v>
      </c>
      <c r="B130" s="452"/>
      <c r="C130" s="452"/>
      <c r="D130" s="452"/>
      <c r="E130" s="452"/>
      <c r="F130" s="452"/>
      <c r="G130" s="452"/>
      <c r="H130" s="452"/>
    </row>
    <row r="131" spans="1:8" ht="16.5" customHeight="1" x14ac:dyDescent="0.25">
      <c r="A131" s="452"/>
      <c r="B131" s="452"/>
      <c r="C131" s="452"/>
      <c r="D131" s="452"/>
      <c r="E131" s="452"/>
      <c r="F131" s="452"/>
      <c r="G131" s="452"/>
      <c r="H131" s="452"/>
    </row>
    <row r="132" spans="1:8" ht="15" customHeight="1" x14ac:dyDescent="0.25">
      <c r="A132" s="452"/>
      <c r="B132" s="452"/>
      <c r="C132" s="452"/>
      <c r="D132" s="452"/>
      <c r="E132" s="452"/>
      <c r="F132" s="452"/>
      <c r="G132" s="452"/>
      <c r="H132" s="452"/>
    </row>
    <row r="133" spans="1:8" ht="12.75" customHeight="1" x14ac:dyDescent="0.25">
      <c r="A133" s="452"/>
      <c r="B133" s="452"/>
      <c r="C133" s="452"/>
      <c r="D133" s="452"/>
      <c r="E133" s="452"/>
      <c r="F133" s="452"/>
      <c r="G133" s="452"/>
      <c r="H133" s="452"/>
    </row>
    <row r="134" spans="1:8" ht="14.1" customHeight="1" x14ac:dyDescent="0.25"/>
    <row r="135" spans="1:8" ht="16.5" customHeight="1" x14ac:dyDescent="0.25">
      <c r="A135" s="447"/>
      <c r="B135" s="447"/>
    </row>
    <row r="136" spans="1:8" ht="14.1" customHeight="1" x14ac:dyDescent="0.25"/>
    <row r="137" spans="1:8" ht="16.5" customHeight="1" x14ac:dyDescent="0.25">
      <c r="A137" s="445"/>
      <c r="B137" s="440"/>
      <c r="C137" s="440"/>
      <c r="D137" s="440"/>
      <c r="E137" s="440"/>
      <c r="F137" s="440"/>
      <c r="G137" s="440"/>
      <c r="H137" s="440"/>
    </row>
    <row r="138" spans="1:8" ht="16.5" customHeight="1" x14ac:dyDescent="0.25">
      <c r="A138" s="440"/>
      <c r="B138" s="440"/>
      <c r="C138" s="440"/>
      <c r="D138" s="440"/>
      <c r="E138" s="440"/>
      <c r="F138" s="440"/>
      <c r="G138" s="440"/>
      <c r="H138" s="440"/>
    </row>
    <row r="139" spans="1:8" ht="16.5" customHeight="1" x14ac:dyDescent="0.25">
      <c r="A139" s="443" t="s">
        <v>367</v>
      </c>
      <c r="B139" s="443"/>
      <c r="C139" s="443"/>
      <c r="D139" s="443"/>
      <c r="E139" s="443"/>
    </row>
    <row r="140" spans="1:8" ht="14.1" customHeight="1" x14ac:dyDescent="0.25"/>
    <row r="141" spans="1:8" ht="16.5" customHeight="1" x14ac:dyDescent="0.25">
      <c r="B141" s="455" t="s">
        <v>368</v>
      </c>
      <c r="C141" s="455"/>
      <c r="D141" s="455"/>
      <c r="E141" s="455"/>
      <c r="F141" s="455"/>
      <c r="G141" s="455"/>
      <c r="H141" s="455"/>
    </row>
    <row r="142" spans="1:8" ht="6.95" customHeight="1" x14ac:dyDescent="0.25"/>
    <row r="143" spans="1:8" ht="16.5" customHeight="1" x14ac:dyDescent="0.25">
      <c r="B143" s="440" t="s">
        <v>369</v>
      </c>
      <c r="C143" s="440"/>
      <c r="D143" s="440"/>
      <c r="E143" s="440"/>
      <c r="F143" s="440"/>
      <c r="G143" s="440"/>
      <c r="H143" s="440"/>
    </row>
    <row r="144" spans="1:8" ht="6.95" customHeight="1" x14ac:dyDescent="0.25"/>
    <row r="145" spans="1:8" ht="28.5" customHeight="1" x14ac:dyDescent="0.25">
      <c r="B145" s="445" t="s">
        <v>370</v>
      </c>
      <c r="C145" s="445"/>
      <c r="D145" s="445"/>
      <c r="E145" s="445"/>
      <c r="F145" s="445"/>
      <c r="G145" s="445"/>
      <c r="H145" s="445"/>
    </row>
    <row r="146" spans="1:8" ht="6.95" customHeight="1" x14ac:dyDescent="0.25"/>
    <row r="147" spans="1:8" ht="16.5" customHeight="1" x14ac:dyDescent="0.25">
      <c r="B147" s="445" t="s">
        <v>371</v>
      </c>
      <c r="C147" s="445"/>
      <c r="D147" s="445"/>
      <c r="E147" s="445"/>
      <c r="F147" s="445"/>
      <c r="G147" s="445"/>
      <c r="H147" s="445"/>
    </row>
    <row r="148" spans="1:8" ht="6.95" customHeight="1" x14ac:dyDescent="0.25"/>
    <row r="149" spans="1:8" ht="16.5" customHeight="1" x14ac:dyDescent="0.25">
      <c r="B149" s="445" t="s">
        <v>372</v>
      </c>
      <c r="C149" s="445"/>
      <c r="D149" s="445"/>
      <c r="E149" s="445"/>
      <c r="F149" s="445"/>
      <c r="G149" s="445"/>
      <c r="H149" s="445"/>
    </row>
    <row r="150" spans="1:8" ht="6.95" customHeight="1" x14ac:dyDescent="0.25"/>
    <row r="151" spans="1:8" s="279" customFormat="1" ht="28.5" customHeight="1" x14ac:dyDescent="0.25">
      <c r="A151" s="46"/>
      <c r="B151" s="445" t="s">
        <v>373</v>
      </c>
      <c r="C151" s="445"/>
      <c r="D151" s="445"/>
      <c r="E151" s="445"/>
      <c r="F151" s="445"/>
      <c r="G151" s="445"/>
      <c r="H151" s="445"/>
    </row>
    <row r="152" spans="1:8" ht="6.95" customHeight="1" x14ac:dyDescent="0.25"/>
    <row r="153" spans="1:8" ht="28.5" customHeight="1" x14ac:dyDescent="0.25">
      <c r="B153" s="445" t="s">
        <v>374</v>
      </c>
      <c r="C153" s="445"/>
      <c r="D153" s="445"/>
      <c r="E153" s="445"/>
      <c r="F153" s="445"/>
      <c r="G153" s="445"/>
      <c r="H153" s="445"/>
    </row>
    <row r="154" spans="1:8" ht="6.95" customHeight="1" x14ac:dyDescent="0.25"/>
    <row r="155" spans="1:8" ht="54" customHeight="1" x14ac:dyDescent="0.25">
      <c r="B155" s="445" t="s">
        <v>375</v>
      </c>
      <c r="C155" s="445"/>
      <c r="D155" s="445"/>
      <c r="E155" s="445"/>
      <c r="F155" s="445"/>
      <c r="G155" s="445"/>
      <c r="H155" s="445"/>
    </row>
    <row r="156" spans="1:8" ht="14.1" customHeight="1" x14ac:dyDescent="0.25"/>
    <row r="157" spans="1:8" ht="16.5" customHeight="1" x14ac:dyDescent="0.25">
      <c r="A157" s="450" t="s">
        <v>376</v>
      </c>
      <c r="B157" s="450"/>
      <c r="C157" s="450"/>
      <c r="D157" s="450"/>
      <c r="E157" s="450"/>
      <c r="F157" s="450"/>
      <c r="G157" s="450"/>
      <c r="H157" s="450"/>
    </row>
    <row r="158" spans="1:8" ht="13.5" customHeight="1" x14ac:dyDescent="0.25">
      <c r="A158" s="450"/>
      <c r="B158" s="450"/>
      <c r="C158" s="450"/>
      <c r="D158" s="450"/>
      <c r="E158" s="450"/>
      <c r="F158" s="450"/>
      <c r="G158" s="450"/>
      <c r="H158" s="450"/>
    </row>
    <row r="159" spans="1:8" ht="24" customHeight="1" x14ac:dyDescent="0.25">
      <c r="A159" s="450"/>
      <c r="B159" s="450"/>
      <c r="C159" s="450"/>
      <c r="D159" s="450"/>
      <c r="E159" s="450"/>
      <c r="F159" s="450"/>
      <c r="G159" s="450"/>
      <c r="H159" s="450"/>
    </row>
    <row r="160" spans="1:8" ht="16.5" customHeight="1" x14ac:dyDescent="0.25">
      <c r="A160" s="450" t="s">
        <v>377</v>
      </c>
      <c r="B160" s="450"/>
      <c r="C160" s="450"/>
      <c r="D160" s="450"/>
      <c r="E160" s="450"/>
      <c r="F160" s="450"/>
      <c r="G160" s="450"/>
      <c r="H160" s="450"/>
    </row>
    <row r="161" spans="1:8" ht="16.5" customHeight="1" x14ac:dyDescent="0.25">
      <c r="A161" s="450"/>
      <c r="B161" s="450"/>
      <c r="C161" s="450"/>
      <c r="D161" s="450"/>
      <c r="E161" s="450"/>
      <c r="F161" s="450"/>
      <c r="G161" s="450"/>
      <c r="H161" s="450"/>
    </row>
    <row r="162" spans="1:8" ht="24" customHeight="1" x14ac:dyDescent="0.25">
      <c r="A162" s="450"/>
      <c r="B162" s="450"/>
      <c r="C162" s="450"/>
      <c r="D162" s="450"/>
      <c r="E162" s="450"/>
      <c r="F162" s="450"/>
      <c r="G162" s="450"/>
      <c r="H162" s="450"/>
    </row>
    <row r="163" spans="1:8" ht="16.5" customHeight="1" x14ac:dyDescent="0.25">
      <c r="A163" s="440" t="s">
        <v>378</v>
      </c>
      <c r="B163" s="440"/>
      <c r="C163" s="440"/>
      <c r="D163" s="440"/>
      <c r="E163" s="440"/>
      <c r="F163" s="440"/>
      <c r="G163" s="440"/>
      <c r="H163" s="440"/>
    </row>
    <row r="164" spans="1:8" ht="14.1" customHeight="1" x14ac:dyDescent="0.25"/>
    <row r="165" spans="1:8" ht="16.5" customHeight="1" x14ac:dyDescent="0.25">
      <c r="A165" s="443" t="s">
        <v>379</v>
      </c>
      <c r="B165" s="443"/>
      <c r="C165" s="443"/>
      <c r="D165" s="443"/>
      <c r="E165" s="443"/>
    </row>
    <row r="166" spans="1:8" ht="14.1" customHeight="1" x14ac:dyDescent="0.25"/>
    <row r="167" spans="1:8" ht="16.5" customHeight="1" x14ac:dyDescent="0.25">
      <c r="A167" s="452" t="s">
        <v>380</v>
      </c>
      <c r="B167" s="452"/>
      <c r="C167" s="452"/>
      <c r="D167" s="452"/>
      <c r="E167" s="452"/>
      <c r="F167" s="452"/>
      <c r="G167" s="452"/>
      <c r="H167" s="452"/>
    </row>
    <row r="168" spans="1:8" ht="11.25" customHeight="1" x14ac:dyDescent="0.25">
      <c r="A168" s="452"/>
      <c r="B168" s="452"/>
      <c r="C168" s="452"/>
      <c r="D168" s="452"/>
      <c r="E168" s="452"/>
      <c r="F168" s="452"/>
      <c r="G168" s="452"/>
      <c r="H168" s="452"/>
    </row>
    <row r="169" spans="1:8" ht="16.5" customHeight="1" x14ac:dyDescent="0.25">
      <c r="A169" s="452"/>
      <c r="B169" s="452"/>
      <c r="C169" s="452"/>
      <c r="D169" s="452"/>
      <c r="E169" s="452"/>
      <c r="F169" s="452"/>
      <c r="G169" s="452"/>
      <c r="H169" s="452"/>
    </row>
    <row r="170" spans="1:8" ht="16.5" customHeight="1" x14ac:dyDescent="0.25">
      <c r="A170" s="452"/>
      <c r="B170" s="452"/>
      <c r="C170" s="452"/>
      <c r="D170" s="452"/>
      <c r="E170" s="452"/>
      <c r="F170" s="452"/>
      <c r="G170" s="452"/>
      <c r="H170" s="452"/>
    </row>
    <row r="171" spans="1:8" ht="16.5" customHeight="1" x14ac:dyDescent="0.25">
      <c r="A171" s="452"/>
      <c r="B171" s="452"/>
      <c r="C171" s="452"/>
      <c r="D171" s="452"/>
      <c r="E171" s="452"/>
      <c r="F171" s="452"/>
      <c r="G171" s="452"/>
      <c r="H171" s="452"/>
    </row>
    <row r="172" spans="1:8" ht="16.5" customHeight="1" x14ac:dyDescent="0.25"/>
    <row r="173" spans="1:8" ht="16.5" customHeight="1" x14ac:dyDescent="0.25">
      <c r="A173" s="445" t="s">
        <v>381</v>
      </c>
      <c r="B173" s="445"/>
      <c r="C173" s="445"/>
      <c r="D173" s="445"/>
      <c r="F173" s="445" t="s">
        <v>382</v>
      </c>
      <c r="G173" s="445"/>
      <c r="H173" s="445"/>
    </row>
    <row r="174" spans="1:8" ht="16.5" customHeight="1" x14ac:dyDescent="0.25">
      <c r="A174" s="445"/>
      <c r="B174" s="445"/>
      <c r="C174" s="445"/>
      <c r="D174" s="445"/>
      <c r="E174" s="46"/>
      <c r="F174" s="445"/>
      <c r="G174" s="445"/>
      <c r="H174" s="445"/>
    </row>
    <row r="175" spans="1:8" ht="16.5" customHeight="1" x14ac:dyDescent="0.25"/>
    <row r="176" spans="1:8" ht="16.5" customHeight="1" x14ac:dyDescent="0.25"/>
    <row r="177" spans="1:8" ht="16.5" customHeight="1" x14ac:dyDescent="0.25">
      <c r="A177" s="457" t="s">
        <v>383</v>
      </c>
      <c r="B177" s="457"/>
      <c r="C177" s="457"/>
      <c r="D177" s="457"/>
      <c r="F177" s="457" t="s">
        <v>383</v>
      </c>
      <c r="G177" s="457"/>
      <c r="H177" s="457"/>
    </row>
    <row r="178" spans="1:8" ht="16.5" customHeight="1" x14ac:dyDescent="0.25">
      <c r="A178" s="440" t="s">
        <v>384</v>
      </c>
      <c r="B178" s="440"/>
      <c r="C178" s="440"/>
      <c r="D178" s="440"/>
      <c r="F178" s="288" t="s">
        <v>385</v>
      </c>
      <c r="G178" s="288"/>
      <c r="H178" s="288"/>
    </row>
    <row r="179" spans="1:8" ht="16.5" customHeight="1" x14ac:dyDescent="0.25"/>
    <row r="180" spans="1:8" ht="16.5" customHeight="1" x14ac:dyDescent="0.25">
      <c r="A180" s="457" t="s">
        <v>383</v>
      </c>
      <c r="B180" s="457"/>
      <c r="C180" s="457"/>
      <c r="D180" s="457"/>
      <c r="F180" s="288" t="s">
        <v>387</v>
      </c>
      <c r="G180" s="456">
        <f ca="1">TODAY()</f>
        <v>42844</v>
      </c>
      <c r="H180" s="456"/>
    </row>
    <row r="181" spans="1:8" ht="16.5" customHeight="1" x14ac:dyDescent="0.25">
      <c r="A181" s="440" t="s">
        <v>386</v>
      </c>
      <c r="B181" s="440"/>
      <c r="C181" s="440"/>
      <c r="D181" s="440"/>
      <c r="E181" s="446"/>
      <c r="F181" s="446"/>
      <c r="G181" s="446"/>
      <c r="H181" s="446"/>
    </row>
  </sheetData>
  <sheetProtection password="CA0F" sheet="1" formatCells="0" formatColumns="0" formatRows="0" insertColumns="0" insertRows="0" insertHyperlinks="0" deleteColumns="0" deleteRows="0" sort="0" autoFilter="0" pivotTables="0"/>
  <mergeCells count="65">
    <mergeCell ref="A181:D181"/>
    <mergeCell ref="E181:H181"/>
    <mergeCell ref="G180:H180"/>
    <mergeCell ref="A178:D178"/>
    <mergeCell ref="B155:H155"/>
    <mergeCell ref="A157:H159"/>
    <mergeCell ref="A177:D177"/>
    <mergeCell ref="F177:H177"/>
    <mergeCell ref="A180:D180"/>
    <mergeCell ref="A160:H162"/>
    <mergeCell ref="A163:H163"/>
    <mergeCell ref="A165:E165"/>
    <mergeCell ref="A167:H171"/>
    <mergeCell ref="A139:E139"/>
    <mergeCell ref="A173:D174"/>
    <mergeCell ref="F173:H174"/>
    <mergeCell ref="B141:H141"/>
    <mergeCell ref="B145:H145"/>
    <mergeCell ref="B147:H147"/>
    <mergeCell ref="B149:H149"/>
    <mergeCell ref="B143:H143"/>
    <mergeCell ref="B151:H151"/>
    <mergeCell ref="B153:H153"/>
    <mergeCell ref="A128:B128"/>
    <mergeCell ref="A126:H126"/>
    <mergeCell ref="A130:H133"/>
    <mergeCell ref="A135:B135"/>
    <mergeCell ref="A137:H138"/>
    <mergeCell ref="S76:Z77"/>
    <mergeCell ref="J76:Q77"/>
    <mergeCell ref="J113:Q115"/>
    <mergeCell ref="A113:H114"/>
    <mergeCell ref="A79:H80"/>
    <mergeCell ref="J79:Q80"/>
    <mergeCell ref="A82:E82"/>
    <mergeCell ref="J125:Q125"/>
    <mergeCell ref="A125:H125"/>
    <mergeCell ref="A123:B123"/>
    <mergeCell ref="J118:Q120"/>
    <mergeCell ref="A84:H89"/>
    <mergeCell ref="A121:H121"/>
    <mergeCell ref="A90:H90"/>
    <mergeCell ref="A92:B92"/>
    <mergeCell ref="A96:H98"/>
    <mergeCell ref="A109:H112"/>
    <mergeCell ref="A118:H120"/>
    <mergeCell ref="A58:B58"/>
    <mergeCell ref="A60:H63"/>
    <mergeCell ref="A78:H78"/>
    <mergeCell ref="J78:Q78"/>
    <mergeCell ref="A67:H68"/>
    <mergeCell ref="A76:H77"/>
    <mergeCell ref="A69:H71"/>
    <mergeCell ref="A73:B73"/>
    <mergeCell ref="A15:H23"/>
    <mergeCell ref="A3:H3"/>
    <mergeCell ref="A4:H4"/>
    <mergeCell ref="A56:H56"/>
    <mergeCell ref="E27:H27"/>
    <mergeCell ref="A52:H52"/>
    <mergeCell ref="A54:B54"/>
    <mergeCell ref="A46:H46"/>
    <mergeCell ref="A50:H50"/>
    <mergeCell ref="A51:H51"/>
    <mergeCell ref="A30:H30"/>
  </mergeCells>
  <phoneticPr fontId="0" type="noConversion"/>
  <conditionalFormatting sqref="A3:H4">
    <cfRule type="cellIs" dxfId="13" priority="1" stopIfTrue="1" operator="equal">
      <formula>0</formula>
    </cfRule>
  </conditionalFormatting>
  <pageMargins left="0.78740157480314965" right="0.78740157480314965" top="0.39370078740157483" bottom="0.98425196850393704" header="0.51181102362204722" footer="0.51181102362204722"/>
  <pageSetup paperSize="9" scale="95" orientation="portrait" r:id="rId1"/>
  <headerFooter alignWithMargins="0"/>
  <rowBreaks count="3" manualBreakCount="3">
    <brk id="49" max="7" man="1"/>
    <brk id="91" max="7" man="1"/>
    <brk id="136" max="7" man="1"/>
  </rowBreaks>
  <drawing r:id="rId2"/>
  <legacyDrawing r:id="rId3"/>
  <oleObjects>
    <mc:AlternateContent xmlns:mc="http://schemas.openxmlformats.org/markup-compatibility/2006">
      <mc:Choice Requires="x14">
        <oleObject progId="AutoCADLT.Drawing.4" shapeId="18435" r:id="rId4">
          <objectPr defaultSize="0" autoPict="0" r:id="rId5">
            <anchor moveWithCells="1" sizeWithCells="1">
              <from>
                <xdr:col>1</xdr:col>
                <xdr:colOff>19050</xdr:colOff>
                <xdr:row>98</xdr:row>
                <xdr:rowOff>9525</xdr:rowOff>
              </from>
              <to>
                <xdr:col>6</xdr:col>
                <xdr:colOff>161925</xdr:colOff>
                <xdr:row>107</xdr:row>
                <xdr:rowOff>123825</xdr:rowOff>
              </to>
            </anchor>
          </objectPr>
        </oleObject>
      </mc:Choice>
      <mc:Fallback>
        <oleObject progId="AutoCADLT.Drawing.4" shapeId="1843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erechnung">
    <pageSetUpPr fitToPage="1"/>
  </sheetPr>
  <dimension ref="A1:IV254"/>
  <sheetViews>
    <sheetView showGridLines="0" tabSelected="1" topLeftCell="B1" zoomScaleNormal="100" workbookViewId="0">
      <selection activeCell="C4" sqref="C4"/>
    </sheetView>
  </sheetViews>
  <sheetFormatPr baseColWidth="10" defaultColWidth="0" defaultRowHeight="13.5" zeroHeight="1" x14ac:dyDescent="0.25"/>
  <cols>
    <col min="1" max="1" width="10" style="14" hidden="1" customWidth="1"/>
    <col min="2" max="2" width="29.28515625" style="14" customWidth="1"/>
    <col min="3" max="3" width="9.28515625" style="14" customWidth="1"/>
    <col min="4" max="4" width="8.140625" style="14" customWidth="1"/>
    <col min="5" max="5" width="10.7109375" style="14" customWidth="1"/>
    <col min="6" max="7" width="10" style="14" customWidth="1"/>
    <col min="8" max="8" width="7.28515625" style="14" customWidth="1"/>
    <col min="9" max="10" width="8.85546875" style="14" bestFit="1" customWidth="1"/>
    <col min="11" max="11" width="7.28515625" style="14" customWidth="1"/>
    <col min="12" max="12" width="8" style="14" bestFit="1" customWidth="1"/>
    <col min="13" max="13" width="8.140625" style="14" customWidth="1"/>
    <col min="14" max="14" width="9.5703125" style="14" customWidth="1"/>
    <col min="15" max="15" width="8.140625" style="14" customWidth="1"/>
    <col min="16" max="16" width="12.42578125" style="14" customWidth="1"/>
    <col min="17" max="17" width="23.7109375" style="14" hidden="1" customWidth="1"/>
    <col min="18" max="18" width="5.7109375" style="14" hidden="1" customWidth="1"/>
    <col min="19" max="19" width="10.140625" style="14" hidden="1" customWidth="1"/>
    <col min="20" max="20" width="13.5703125" style="14" hidden="1" customWidth="1"/>
    <col min="21" max="21" width="8.140625" style="14" hidden="1" customWidth="1"/>
    <col min="22" max="22" width="18" style="14" hidden="1" customWidth="1"/>
    <col min="23" max="23" width="16.5703125" style="14" hidden="1" customWidth="1"/>
    <col min="24" max="24" width="12.140625" style="14" hidden="1" customWidth="1"/>
    <col min="25" max="25" width="17.140625" style="14" hidden="1" customWidth="1"/>
    <col min="26" max="27" width="21.140625" style="14" hidden="1" customWidth="1"/>
    <col min="28" max="32" width="11.42578125" style="14" hidden="1" customWidth="1"/>
    <col min="33" max="33" width="14" style="14" hidden="1" customWidth="1"/>
    <col min="34" max="36" width="11.42578125" style="14" hidden="1" customWidth="1"/>
    <col min="37" max="38" width="15.7109375" style="14" hidden="1" customWidth="1"/>
    <col min="39" max="256" width="11.42578125" style="14" hidden="1" customWidth="1"/>
    <col min="257" max="16384" width="0" style="14" hidden="1"/>
  </cols>
  <sheetData>
    <row r="1" spans="2:22" ht="34.5" customHeight="1" x14ac:dyDescent="0.35">
      <c r="B1" s="469" t="s">
        <v>455</v>
      </c>
      <c r="C1" s="469"/>
      <c r="D1" s="469"/>
      <c r="E1" s="469"/>
      <c r="F1" s="469"/>
      <c r="G1" s="469"/>
      <c r="H1" s="469"/>
      <c r="I1" s="469"/>
      <c r="J1" s="469"/>
      <c r="K1" s="469"/>
      <c r="L1" s="469"/>
      <c r="M1" s="469"/>
      <c r="N1" s="469"/>
      <c r="O1" s="469"/>
      <c r="P1" s="284"/>
      <c r="Q1" s="277"/>
    </row>
    <row r="2" spans="2:22" ht="14.25" thickBot="1" x14ac:dyDescent="0.3">
      <c r="B2" s="16"/>
      <c r="C2" s="31"/>
      <c r="D2" s="16"/>
      <c r="E2" s="16"/>
      <c r="F2" s="16"/>
      <c r="G2" s="16"/>
      <c r="H2" s="16"/>
      <c r="I2" s="16"/>
      <c r="J2" s="16"/>
      <c r="K2" s="16"/>
      <c r="L2" s="16"/>
      <c r="M2" s="16"/>
      <c r="N2" s="16"/>
      <c r="O2" s="16"/>
      <c r="P2" s="16"/>
      <c r="Q2" s="16"/>
    </row>
    <row r="3" spans="2:22" ht="15.75" x14ac:dyDescent="0.3">
      <c r="B3" s="30" t="s">
        <v>190</v>
      </c>
      <c r="C3" s="177">
        <v>3</v>
      </c>
      <c r="D3" s="16" t="s">
        <v>0</v>
      </c>
      <c r="E3" s="124" t="s">
        <v>337</v>
      </c>
      <c r="F3" s="124"/>
      <c r="G3" s="124"/>
      <c r="H3" s="124"/>
      <c r="I3" s="16"/>
      <c r="J3" s="470" t="s">
        <v>390</v>
      </c>
      <c r="K3" s="470"/>
      <c r="L3" s="470"/>
      <c r="M3" s="470"/>
      <c r="N3" s="470"/>
      <c r="O3" s="470"/>
      <c r="P3" s="16"/>
      <c r="Q3" s="16"/>
    </row>
    <row r="4" spans="2:22" ht="16.5" thickBot="1" x14ac:dyDescent="0.35">
      <c r="B4" s="30" t="s">
        <v>191</v>
      </c>
      <c r="C4" s="178">
        <v>12</v>
      </c>
      <c r="D4" s="16" t="s">
        <v>2</v>
      </c>
      <c r="E4" s="124" t="s">
        <v>388</v>
      </c>
      <c r="F4" s="124"/>
      <c r="G4" s="124"/>
      <c r="H4" s="124"/>
      <c r="I4" s="16"/>
      <c r="J4" s="16"/>
      <c r="K4" s="16"/>
      <c r="L4" s="16"/>
      <c r="M4" s="16"/>
      <c r="N4" s="16"/>
      <c r="O4" s="16"/>
      <c r="P4" s="16"/>
      <c r="Q4" s="16"/>
    </row>
    <row r="5" spans="2:22" ht="14.25" thickBot="1" x14ac:dyDescent="0.3">
      <c r="B5" s="32"/>
      <c r="C5" s="19"/>
      <c r="D5" s="16"/>
      <c r="E5" s="16"/>
      <c r="F5" s="16"/>
      <c r="G5" s="16"/>
      <c r="H5" s="16"/>
      <c r="I5" s="16"/>
      <c r="J5" s="16"/>
      <c r="K5" s="16"/>
      <c r="L5" s="16"/>
      <c r="M5" s="16"/>
      <c r="N5" s="16"/>
      <c r="O5" s="16"/>
      <c r="P5" s="16"/>
      <c r="Q5" s="16"/>
    </row>
    <row r="6" spans="2:22" ht="14.25" thickBot="1" x14ac:dyDescent="0.3">
      <c r="B6" s="30" t="s">
        <v>11</v>
      </c>
      <c r="C6" s="179">
        <v>200</v>
      </c>
      <c r="D6" s="16" t="s">
        <v>9</v>
      </c>
      <c r="E6" s="16"/>
      <c r="F6" s="16"/>
      <c r="G6" s="16"/>
      <c r="H6" s="16"/>
      <c r="I6" s="16"/>
      <c r="J6" s="16"/>
      <c r="K6" s="16"/>
      <c r="L6" s="16"/>
      <c r="M6" s="16"/>
      <c r="N6" s="16"/>
      <c r="O6" s="16"/>
      <c r="P6" s="16"/>
      <c r="Q6" s="16"/>
    </row>
    <row r="7" spans="2:22" x14ac:dyDescent="0.25">
      <c r="B7" s="32"/>
      <c r="C7" s="19"/>
      <c r="D7" s="16"/>
      <c r="E7" s="16"/>
      <c r="F7" s="16"/>
      <c r="G7" s="16"/>
      <c r="H7" s="16"/>
      <c r="I7" s="16"/>
      <c r="J7" s="16"/>
      <c r="K7" s="16"/>
      <c r="L7" s="16"/>
      <c r="M7" s="16"/>
      <c r="N7" s="16"/>
      <c r="O7" s="16"/>
      <c r="P7" s="16"/>
      <c r="Q7" s="16"/>
    </row>
    <row r="8" spans="2:22" x14ac:dyDescent="0.25">
      <c r="B8" s="32"/>
      <c r="C8" s="463" t="s">
        <v>119</v>
      </c>
      <c r="D8" s="463"/>
      <c r="E8" s="463"/>
      <c r="F8" s="35">
        <f>U25</f>
        <v>0.12959999999999999</v>
      </c>
      <c r="G8" s="18" t="s">
        <v>66</v>
      </c>
      <c r="I8" s="16"/>
      <c r="J8" s="465" t="s">
        <v>120</v>
      </c>
      <c r="K8" s="465"/>
      <c r="L8" s="465"/>
      <c r="M8" s="465"/>
      <c r="N8" s="421">
        <f>H25</f>
        <v>50</v>
      </c>
      <c r="O8" s="420" t="s">
        <v>7</v>
      </c>
      <c r="P8" s="16"/>
      <c r="Q8" s="16"/>
    </row>
    <row r="9" spans="2:22" x14ac:dyDescent="0.25">
      <c r="B9" s="32"/>
      <c r="C9" s="463" t="s">
        <v>128</v>
      </c>
      <c r="D9" s="463"/>
      <c r="E9" s="463"/>
      <c r="F9" s="35">
        <f>W22</f>
        <v>2.9134020458986234E-2</v>
      </c>
      <c r="G9" s="18" t="s">
        <v>121</v>
      </c>
      <c r="I9" s="16"/>
      <c r="J9" s="465" t="s">
        <v>122</v>
      </c>
      <c r="K9" s="465"/>
      <c r="L9" s="465"/>
      <c r="M9" s="465"/>
      <c r="N9" s="424">
        <f>W28*X28</f>
        <v>3.8848445999999995E-2</v>
      </c>
      <c r="O9" s="420" t="s">
        <v>123</v>
      </c>
      <c r="P9" s="16"/>
      <c r="Q9" s="16"/>
    </row>
    <row r="10" spans="2:22" x14ac:dyDescent="0.25">
      <c r="B10" s="16"/>
      <c r="C10" s="16"/>
      <c r="D10" s="16"/>
      <c r="E10" s="16"/>
      <c r="F10" s="16"/>
      <c r="G10" s="16"/>
      <c r="H10" s="16"/>
      <c r="I10" s="16"/>
      <c r="J10" s="16"/>
      <c r="K10" s="16"/>
      <c r="L10" s="16"/>
      <c r="M10" s="16"/>
      <c r="N10" s="16"/>
      <c r="O10" s="16"/>
      <c r="P10" s="16"/>
      <c r="Q10" s="16"/>
    </row>
    <row r="11" spans="2:22" ht="15.75" x14ac:dyDescent="0.3">
      <c r="B11" s="16"/>
      <c r="C11" s="463" t="s">
        <v>192</v>
      </c>
      <c r="D11" s="463"/>
      <c r="E11" s="463"/>
      <c r="F11" s="280">
        <f>ROUND($C$3*$C$4/3.25,1)</f>
        <v>11.1</v>
      </c>
      <c r="G11" s="18" t="s">
        <v>1</v>
      </c>
      <c r="I11" s="16"/>
      <c r="J11" s="467" t="s">
        <v>193</v>
      </c>
      <c r="K11" s="467"/>
      <c r="L11" s="467"/>
      <c r="M11" s="467"/>
      <c r="N11" s="36">
        <f>1*F11</f>
        <v>11.1</v>
      </c>
      <c r="O11" s="18" t="s">
        <v>3</v>
      </c>
      <c r="P11" s="16"/>
      <c r="Q11" s="16"/>
    </row>
    <row r="12" spans="2:22" ht="15.75" x14ac:dyDescent="0.3">
      <c r="B12" s="511"/>
      <c r="C12" s="468" t="s">
        <v>194</v>
      </c>
      <c r="D12" s="468"/>
      <c r="E12" s="468"/>
      <c r="F12" s="20">
        <f>F11/2</f>
        <v>5.55</v>
      </c>
      <c r="G12" s="18" t="s">
        <v>1</v>
      </c>
      <c r="I12" s="16"/>
      <c r="J12" s="463" t="s">
        <v>118</v>
      </c>
      <c r="K12" s="463"/>
      <c r="L12" s="463"/>
      <c r="M12" s="463"/>
      <c r="N12" s="20">
        <f>U22*10000</f>
        <v>103.67978811027129</v>
      </c>
      <c r="O12" s="18" t="s">
        <v>3</v>
      </c>
      <c r="P12" s="16"/>
      <c r="Q12" s="16"/>
    </row>
    <row r="13" spans="2:22" ht="15.75" x14ac:dyDescent="0.3">
      <c r="B13" s="135"/>
      <c r="C13" s="466" t="s">
        <v>195</v>
      </c>
      <c r="D13" s="467"/>
      <c r="E13" s="467"/>
      <c r="F13" s="20">
        <f>0.78*F11</f>
        <v>8.6579999999999995</v>
      </c>
      <c r="G13" s="18" t="s">
        <v>10</v>
      </c>
      <c r="I13" s="16"/>
      <c r="J13" s="465" t="s">
        <v>113</v>
      </c>
      <c r="K13" s="465"/>
      <c r="L13" s="465"/>
      <c r="M13" s="465"/>
      <c r="N13" s="423">
        <f>101.09-(0.0941*I60)-((6.275*10^-6)*(I60^2))-((3.173*10^-9)*(I60^3))</f>
        <v>62.085071636366415</v>
      </c>
      <c r="O13" s="420" t="s">
        <v>114</v>
      </c>
      <c r="P13" s="16"/>
      <c r="Q13" s="37" t="str">
        <f>IF(N13&lt;78,"Wirkungsgrad &lt; 78%","Wirkungsgrad I.O.")</f>
        <v>Wirkungsgrad &lt; 78%</v>
      </c>
    </row>
    <row r="14" spans="2:22" ht="15.75" x14ac:dyDescent="0.3">
      <c r="B14" s="135"/>
      <c r="C14" s="466" t="s">
        <v>196</v>
      </c>
      <c r="D14" s="467"/>
      <c r="E14" s="467"/>
      <c r="F14" s="44">
        <f>IF(J3="Bauweise ohne Luftspalt",1.3*SQRT(F11),1.5*SQRT(F11))</f>
        <v>4.3311661247289974</v>
      </c>
      <c r="G14" s="18" t="s">
        <v>9</v>
      </c>
      <c r="I14" s="16"/>
      <c r="J14" s="465" t="s">
        <v>454</v>
      </c>
      <c r="K14" s="465"/>
      <c r="L14" s="465"/>
      <c r="M14" s="465"/>
      <c r="N14" s="423">
        <f>S57/100</f>
        <v>1.6</v>
      </c>
      <c r="O14" s="420" t="s">
        <v>9</v>
      </c>
      <c r="P14" s="16"/>
      <c r="Q14" s="16"/>
    </row>
    <row r="15" spans="2:22" hidden="1" x14ac:dyDescent="0.25">
      <c r="B15" s="135"/>
      <c r="C15" s="38"/>
      <c r="D15" s="16"/>
      <c r="E15" s="16"/>
      <c r="F15" s="39"/>
      <c r="G15" s="39"/>
      <c r="H15" s="16"/>
      <c r="I15" s="16"/>
      <c r="J15" s="420"/>
      <c r="K15" s="420"/>
      <c r="L15" s="420"/>
      <c r="M15" s="420"/>
      <c r="N15" s="420"/>
      <c r="O15" s="420"/>
      <c r="P15" s="16"/>
      <c r="Q15" s="40"/>
    </row>
    <row r="16" spans="2:22" ht="15" hidden="1" x14ac:dyDescent="0.3">
      <c r="B16" s="135"/>
      <c r="C16" s="465" t="s">
        <v>115</v>
      </c>
      <c r="D16" s="465"/>
      <c r="E16" s="465"/>
      <c r="F16" s="421">
        <f>Schornstein!P25</f>
        <v>208.66865088410503</v>
      </c>
      <c r="G16" s="420" t="s">
        <v>116</v>
      </c>
      <c r="I16" s="16"/>
      <c r="J16" s="465" t="s">
        <v>117</v>
      </c>
      <c r="K16" s="465"/>
      <c r="L16" s="465"/>
      <c r="M16" s="465"/>
      <c r="N16" s="421">
        <f>Schornstein!Q25</f>
        <v>153.17489842428716</v>
      </c>
      <c r="O16" s="420" t="s">
        <v>116</v>
      </c>
      <c r="P16" s="16"/>
      <c r="Q16" s="37" t="str">
        <f>IF(N16&lt;=45,"FMIW Temp. &lt; 45°C","FMIW Temp. I.O.")</f>
        <v>FMIW Temp. I.O.</v>
      </c>
      <c r="S16" s="464" t="s">
        <v>200</v>
      </c>
      <c r="T16" s="464"/>
      <c r="U16" s="464"/>
      <c r="V16" s="118">
        <f>(1/(EXP((-9.81*C6)/78624)))</f>
        <v>1.025268174936171</v>
      </c>
    </row>
    <row r="17" spans="1:38" hidden="1" x14ac:dyDescent="0.25">
      <c r="B17" s="135"/>
      <c r="C17" s="32"/>
      <c r="D17" s="32"/>
      <c r="E17" s="32"/>
      <c r="F17" s="41"/>
      <c r="G17" s="41"/>
      <c r="H17" s="16"/>
      <c r="I17" s="16"/>
      <c r="J17" s="422"/>
      <c r="K17" s="422"/>
      <c r="L17" s="422"/>
      <c r="M17" s="422"/>
      <c r="N17" s="421"/>
      <c r="O17" s="420"/>
      <c r="P17" s="16"/>
      <c r="Q17" s="42"/>
      <c r="S17" s="117"/>
      <c r="T17" s="117"/>
      <c r="U17" s="117"/>
      <c r="V17" s="118"/>
    </row>
    <row r="18" spans="1:38" hidden="1" x14ac:dyDescent="0.25">
      <c r="B18" s="135"/>
      <c r="C18" s="465" t="s">
        <v>126</v>
      </c>
      <c r="D18" s="465"/>
      <c r="E18" s="465"/>
      <c r="F18" s="419">
        <f>F67</f>
        <v>0.57268262436853234</v>
      </c>
      <c r="G18" s="420" t="s">
        <v>124</v>
      </c>
      <c r="I18" s="16"/>
      <c r="J18" s="465" t="s">
        <v>125</v>
      </c>
      <c r="K18" s="465"/>
      <c r="L18" s="465"/>
      <c r="M18" s="465"/>
      <c r="N18" s="419">
        <f>N67</f>
        <v>35.88187043691476</v>
      </c>
      <c r="O18" s="420" t="s">
        <v>124</v>
      </c>
      <c r="P18" s="16"/>
      <c r="Q18" s="37" t="str">
        <f>IF(N18&lt;0,"Druckdifferenz &lt; 0 Pa",(IF(N18&gt;F18,"Druckdifferenz zu groß","Druckdifferenz I.O.")))</f>
        <v>Druckdifferenz zu groß</v>
      </c>
      <c r="S18" s="117"/>
      <c r="T18" s="117"/>
      <c r="U18" s="117"/>
      <c r="V18" s="118"/>
    </row>
    <row r="19" spans="1:38" ht="14.25" thickBot="1" x14ac:dyDescent="0.3">
      <c r="B19" s="16"/>
      <c r="C19" s="38"/>
      <c r="D19" s="16"/>
      <c r="E19" s="16"/>
      <c r="F19" s="45"/>
      <c r="G19" s="45"/>
      <c r="H19" s="16"/>
      <c r="I19" s="16"/>
      <c r="J19" s="16"/>
      <c r="K19" s="16"/>
      <c r="L19" s="16"/>
      <c r="M19" s="16"/>
      <c r="N19" s="16"/>
      <c r="O19" s="16"/>
      <c r="P19" s="16"/>
      <c r="Q19" s="16"/>
    </row>
    <row r="20" spans="1:38" s="46" customFormat="1" ht="45.75" customHeight="1" thickBot="1" x14ac:dyDescent="0.4">
      <c r="B20" s="198"/>
      <c r="C20" s="169" t="s">
        <v>98</v>
      </c>
      <c r="D20" s="167" t="s">
        <v>108</v>
      </c>
      <c r="E20" s="167" t="s">
        <v>135</v>
      </c>
      <c r="F20" s="167" t="s">
        <v>394</v>
      </c>
      <c r="G20" s="167" t="s">
        <v>329</v>
      </c>
      <c r="H20" s="167" t="s">
        <v>99</v>
      </c>
      <c r="I20" s="167" t="s">
        <v>110</v>
      </c>
      <c r="J20" s="168" t="s">
        <v>111</v>
      </c>
      <c r="K20" s="391" t="s">
        <v>429</v>
      </c>
      <c r="L20" s="389" t="s">
        <v>425</v>
      </c>
      <c r="M20" s="390" t="s">
        <v>426</v>
      </c>
      <c r="N20" s="391" t="s">
        <v>427</v>
      </c>
      <c r="O20" s="392" t="s">
        <v>112</v>
      </c>
      <c r="P20" s="391" t="s">
        <v>428</v>
      </c>
      <c r="Q20" s="282" t="s">
        <v>103</v>
      </c>
      <c r="R20" s="119"/>
      <c r="S20" s="348" t="s">
        <v>104</v>
      </c>
      <c r="T20" s="348" t="s">
        <v>101</v>
      </c>
      <c r="U20" s="348" t="s">
        <v>100</v>
      </c>
      <c r="V20" s="347" t="s">
        <v>244</v>
      </c>
      <c r="W20" s="349" t="s">
        <v>418</v>
      </c>
      <c r="X20" s="348" t="s">
        <v>306</v>
      </c>
      <c r="Y20" s="347" t="s">
        <v>245</v>
      </c>
      <c r="Z20" s="348" t="s">
        <v>307</v>
      </c>
      <c r="AA20" s="348" t="s">
        <v>419</v>
      </c>
      <c r="AB20" s="348" t="s">
        <v>91</v>
      </c>
      <c r="AC20" s="348" t="s">
        <v>92</v>
      </c>
      <c r="AD20" s="348" t="s">
        <v>93</v>
      </c>
      <c r="AE20" s="348" t="s">
        <v>95</v>
      </c>
      <c r="AF20" s="348" t="s">
        <v>96</v>
      </c>
      <c r="AG20" s="348" t="s">
        <v>97</v>
      </c>
      <c r="AH20" s="347"/>
      <c r="AI20" s="347" t="s">
        <v>335</v>
      </c>
      <c r="AJ20" s="346" t="s">
        <v>112</v>
      </c>
      <c r="AK20" s="346" t="s">
        <v>423</v>
      </c>
      <c r="AL20" s="346" t="s">
        <v>424</v>
      </c>
    </row>
    <row r="21" spans="1:38" ht="14.25" thickBot="1" x14ac:dyDescent="0.3">
      <c r="B21" s="16"/>
      <c r="C21" s="32"/>
      <c r="D21" s="32"/>
      <c r="E21" s="32"/>
      <c r="F21" s="32"/>
      <c r="G21" s="32"/>
      <c r="H21" s="32"/>
      <c r="I21" s="32"/>
      <c r="J21" s="32"/>
      <c r="K21" s="47"/>
      <c r="L21" s="32"/>
      <c r="M21" s="32"/>
      <c r="N21" s="47"/>
      <c r="O21" s="16"/>
      <c r="P21" s="47"/>
      <c r="Q21" s="32"/>
      <c r="R21" s="117"/>
      <c r="S21" s="356"/>
      <c r="T21" s="356"/>
      <c r="U21" s="356"/>
      <c r="V21" s="356"/>
      <c r="W21" s="356"/>
      <c r="X21" s="371"/>
      <c r="Y21" s="357"/>
      <c r="Z21" s="136"/>
      <c r="AA21" s="200"/>
      <c r="AB21" s="136"/>
      <c r="AC21" s="200"/>
      <c r="AD21" s="136"/>
      <c r="AE21" s="136"/>
      <c r="AF21" s="362"/>
      <c r="AG21" s="362"/>
      <c r="AH21" s="362"/>
      <c r="AI21" s="362"/>
      <c r="AJ21" s="362"/>
      <c r="AK21" s="136"/>
      <c r="AL21" s="136"/>
    </row>
    <row r="22" spans="1:38" ht="14.25" thickBot="1" x14ac:dyDescent="0.3">
      <c r="B22" s="48" t="s">
        <v>17</v>
      </c>
      <c r="C22" s="475" t="str">
        <f>IF(BRENNRAUM!D22="B","Luftzufuhrrohr",IF(BRENNRAUM!D22="N","Stehrost-Querschnitt von:","Ungültiger Brennraum"))</f>
        <v>Stehrost-Querschnitt von:</v>
      </c>
      <c r="D22" s="475"/>
      <c r="E22" s="476"/>
      <c r="F22" s="160">
        <f>U22*10000</f>
        <v>103.67978811027129</v>
      </c>
      <c r="G22" s="158" t="s">
        <v>3</v>
      </c>
      <c r="H22" s="159"/>
      <c r="I22" s="351">
        <v>0</v>
      </c>
      <c r="J22" s="49">
        <f>IF(B25="Biofeuerraum 3",W22/VLOOKUP(Berechnung!C3,Biofeuerraum_2,2),IF(B25="Biofeuerraum 2",(W22/VLOOKUP(Berechnung!C3,Biofeuerraum_2,2)),2.81))</f>
        <v>2.81</v>
      </c>
      <c r="K22" s="50"/>
      <c r="L22" s="51">
        <f>(X22*(J22^2))/2</f>
        <v>4.9790179533445542</v>
      </c>
      <c r="M22" s="52"/>
      <c r="N22" s="53"/>
      <c r="O22" s="54">
        <f>IF(B25="Biofeuerraum 3",VLOOKUP(Berechnung!C3,Biofeuerraum_2,3),IF(B25="Biofeuerraum 2",VLOOKUP(Berechnung!C3,Biofeuerraum_2,3),0.3))</f>
        <v>0.3</v>
      </c>
      <c r="P22" s="55">
        <f>O22*L22</f>
        <v>1.4937053860033662</v>
      </c>
      <c r="Q22" s="19"/>
      <c r="R22" s="24"/>
      <c r="S22" s="358"/>
      <c r="T22" s="358"/>
      <c r="U22" s="341">
        <f>IF(VLOOKUP(C25,Brennräume,3)="B",VLOOKUP(C3,Biofeuerraum_2,2),W22/2.81)</f>
        <v>1.0367978811027129E-2</v>
      </c>
      <c r="V22" s="386">
        <f>(273+I22)/273</f>
        <v>1</v>
      </c>
      <c r="W22" s="341">
        <f>0.00256*$F$11*$V$16*V22</f>
        <v>2.9134020458986234E-2</v>
      </c>
      <c r="X22" s="380">
        <f>1.293/($V$16*V22)</f>
        <v>1.2611334591366761</v>
      </c>
      <c r="Y22" s="359"/>
      <c r="Z22" s="374"/>
      <c r="AA22" s="359"/>
      <c r="AB22" s="374"/>
      <c r="AC22" s="359"/>
      <c r="AD22" s="374"/>
      <c r="AE22" s="374"/>
      <c r="AF22" s="367"/>
      <c r="AG22" s="367"/>
      <c r="AH22" s="367"/>
      <c r="AI22" s="367"/>
      <c r="AJ22" s="363"/>
      <c r="AK22" s="135"/>
      <c r="AL22" s="135"/>
    </row>
    <row r="23" spans="1:38" ht="14.25" thickBot="1" x14ac:dyDescent="0.3">
      <c r="B23" s="56"/>
      <c r="C23" s="16"/>
      <c r="D23" s="16"/>
      <c r="E23" s="16"/>
      <c r="F23" s="16"/>
      <c r="G23" s="16"/>
      <c r="H23" s="16"/>
      <c r="I23" s="16"/>
      <c r="J23" s="16"/>
      <c r="K23" s="57"/>
      <c r="L23" s="16"/>
      <c r="M23" s="16"/>
      <c r="N23" s="57"/>
      <c r="O23" s="16"/>
      <c r="P23" s="155"/>
      <c r="Q23" s="16"/>
      <c r="S23" s="360"/>
      <c r="T23" s="360"/>
      <c r="U23" s="368"/>
      <c r="V23" s="360"/>
      <c r="W23" s="360"/>
      <c r="X23" s="372"/>
      <c r="Y23" s="16"/>
      <c r="Z23" s="135"/>
      <c r="AA23" s="16"/>
      <c r="AB23" s="135"/>
      <c r="AC23" s="16"/>
      <c r="AD23" s="135"/>
      <c r="AE23" s="135"/>
      <c r="AF23" s="363"/>
      <c r="AG23" s="363"/>
      <c r="AH23" s="363"/>
      <c r="AI23" s="363"/>
      <c r="AJ23" s="363"/>
      <c r="AK23" s="135"/>
      <c r="AL23" s="135"/>
    </row>
    <row r="24" spans="1:38" ht="14.25" thickBot="1" x14ac:dyDescent="0.3">
      <c r="B24" s="58" t="s">
        <v>134</v>
      </c>
      <c r="C24" s="59"/>
      <c r="D24" s="60"/>
      <c r="E24" s="60"/>
      <c r="F24" s="60"/>
      <c r="G24" s="59"/>
      <c r="H24" s="60"/>
      <c r="I24" s="60"/>
      <c r="J24" s="60"/>
      <c r="K24" s="61"/>
      <c r="L24" s="60"/>
      <c r="M24" s="60"/>
      <c r="N24" s="61"/>
      <c r="O24" s="60"/>
      <c r="P24" s="156"/>
      <c r="Q24" s="16"/>
      <c r="S24" s="360"/>
      <c r="T24" s="360"/>
      <c r="U24" s="368"/>
      <c r="V24" s="360"/>
      <c r="W24" s="360"/>
      <c r="X24" s="372"/>
      <c r="Y24" s="16"/>
      <c r="Z24" s="135"/>
      <c r="AA24" s="16"/>
      <c r="AB24" s="135"/>
      <c r="AC24" s="16"/>
      <c r="AD24" s="135"/>
      <c r="AE24" s="135"/>
      <c r="AF24" s="363"/>
      <c r="AG24" s="363"/>
      <c r="AH24" s="363"/>
      <c r="AI24" s="363"/>
      <c r="AJ24" s="363"/>
      <c r="AK24" s="135"/>
      <c r="AL24" s="135"/>
    </row>
    <row r="25" spans="1:38" ht="14.25" thickBot="1" x14ac:dyDescent="0.3">
      <c r="B25" s="285" t="s">
        <v>134</v>
      </c>
      <c r="C25" s="62">
        <f>VLOOKUP(B25,Brennraumformate,2,FALSE)</f>
        <v>1</v>
      </c>
      <c r="D25" s="477" t="str">
        <f>IF(VLOOKUP(C25,Brennräume,3,FALSE)="B",VLOOKUP(C25,Brennräume,2,FALSE),IF(VLOOKUP(C25,Brennräume,3,FALSE)="N","Normalbrennraum","Ungültiger Brennraum"))</f>
        <v>Normalbrennraum</v>
      </c>
      <c r="E25" s="478"/>
      <c r="F25" s="479"/>
      <c r="G25" s="161"/>
      <c r="H25" s="83">
        <f>IF(OR(C25&lt;1,C25&gt;6),"dumbuser",VLOOKUP(C25,Brennräume,5,FALSE))</f>
        <v>50</v>
      </c>
      <c r="I25" s="63">
        <v>700</v>
      </c>
      <c r="J25" s="64"/>
      <c r="K25" s="65">
        <f>IF(OR(C25&lt;1,C25&gt;6),0,(9.81*(H25/100))*($X$22-X25))</f>
        <v>4.4650240768625569</v>
      </c>
      <c r="L25" s="66"/>
      <c r="M25" s="66"/>
      <c r="N25" s="67"/>
      <c r="O25" s="66"/>
      <c r="P25" s="79"/>
      <c r="Q25" s="19"/>
      <c r="R25" s="24"/>
      <c r="S25" s="358"/>
      <c r="T25" s="358"/>
      <c r="U25" s="341">
        <f>VLOOKUP(C25,Brennräume,4,FALSE)</f>
        <v>0.12959999999999999</v>
      </c>
      <c r="V25" s="386">
        <f>(273+I25)/273</f>
        <v>3.5641025641025643</v>
      </c>
      <c r="W25" s="358"/>
      <c r="X25" s="380">
        <f>1.282/($V$16*V25)</f>
        <v>0.35083293378243408</v>
      </c>
      <c r="Y25" s="359"/>
      <c r="Z25" s="374"/>
      <c r="AA25" s="359"/>
      <c r="AB25" s="374"/>
      <c r="AC25" s="359"/>
      <c r="AD25" s="374"/>
      <c r="AE25" s="374"/>
      <c r="AF25" s="367"/>
      <c r="AG25" s="367"/>
      <c r="AH25" s="367"/>
      <c r="AI25" s="367"/>
      <c r="AJ25" s="363"/>
      <c r="AK25" s="135"/>
      <c r="AL25" s="135"/>
    </row>
    <row r="26" spans="1:38" ht="14.25" thickBot="1" x14ac:dyDescent="0.3">
      <c r="B26" s="68"/>
      <c r="C26" s="69"/>
      <c r="D26" s="69"/>
      <c r="E26" s="69"/>
      <c r="F26" s="69"/>
      <c r="G26" s="69"/>
      <c r="H26" s="69"/>
      <c r="I26" s="69"/>
      <c r="J26" s="69"/>
      <c r="K26" s="70"/>
      <c r="L26" s="69"/>
      <c r="M26" s="69"/>
      <c r="N26" s="70"/>
      <c r="O26" s="16"/>
      <c r="P26" s="157"/>
      <c r="Q26" s="16"/>
      <c r="S26" s="360"/>
      <c r="T26" s="360"/>
      <c r="U26" s="368"/>
      <c r="V26" s="360"/>
      <c r="W26" s="360"/>
      <c r="X26" s="372"/>
      <c r="Y26" s="16"/>
      <c r="Z26" s="135"/>
      <c r="AA26" s="16"/>
      <c r="AB26" s="135"/>
      <c r="AC26" s="16"/>
      <c r="AD26" s="135"/>
      <c r="AE26" s="135"/>
      <c r="AF26" s="363"/>
      <c r="AG26" s="363"/>
      <c r="AH26" s="363"/>
      <c r="AI26" s="363"/>
      <c r="AJ26" s="363"/>
      <c r="AK26" s="135"/>
      <c r="AL26" s="135"/>
    </row>
    <row r="27" spans="1:38" ht="14.25" thickBot="1" x14ac:dyDescent="0.3">
      <c r="B27" s="58" t="s">
        <v>18</v>
      </c>
      <c r="C27" s="60"/>
      <c r="D27" s="60"/>
      <c r="E27" s="60"/>
      <c r="F27" s="60"/>
      <c r="G27" s="60"/>
      <c r="H27" s="60"/>
      <c r="I27" s="60"/>
      <c r="J27" s="60"/>
      <c r="K27" s="61"/>
      <c r="L27" s="60"/>
      <c r="M27" s="60"/>
      <c r="N27" s="58"/>
      <c r="O27" s="404"/>
      <c r="P27" s="162"/>
      <c r="Q27" s="16"/>
      <c r="S27" s="360"/>
      <c r="T27" s="360"/>
      <c r="U27" s="368"/>
      <c r="V27" s="360"/>
      <c r="W27" s="360"/>
      <c r="X27" s="372"/>
      <c r="Y27" s="16"/>
      <c r="Z27" s="135"/>
      <c r="AA27" s="16"/>
      <c r="AB27" s="135"/>
      <c r="AC27" s="16"/>
      <c r="AD27" s="135"/>
      <c r="AE27" s="135"/>
      <c r="AF27" s="363"/>
      <c r="AG27" s="363"/>
      <c r="AH27" s="363"/>
      <c r="AI27" s="363"/>
      <c r="AJ27" s="363"/>
      <c r="AK27" s="135"/>
      <c r="AL27" s="135"/>
    </row>
    <row r="28" spans="1:38" x14ac:dyDescent="0.25">
      <c r="A28" s="350" t="str">
        <f t="shared" ref="A28:A56" si="0">R28</f>
        <v/>
      </c>
      <c r="B28" s="71">
        <v>0</v>
      </c>
      <c r="C28" s="180">
        <v>20</v>
      </c>
      <c r="D28" s="181">
        <v>20</v>
      </c>
      <c r="E28" s="181">
        <v>30</v>
      </c>
      <c r="F28" s="344">
        <v>0</v>
      </c>
      <c r="G28" s="182" t="s">
        <v>310</v>
      </c>
      <c r="H28" s="173">
        <f>IF(G28="Oben",E28,IF(G28="Unten",-E28,(IF(OR(G28="L-O",G28="R-O",G28="V-O",G28="H-O"),(SIN(F28*PI()/180)*E28),(IF(OR(G28="L-U",G28="R-U",G28="V-U",G28="H-U"),-(SIN(F28*PI()/180)*E28),0))))))</f>
        <v>0</v>
      </c>
      <c r="I28" s="172">
        <f>IF(C28&gt;0,550*EXP((-0.83*(T28/100))/$F$14),"")</f>
        <v>534.41523628486766</v>
      </c>
      <c r="J28" s="170">
        <f>IF(C28&gt;0,W28/U28,"")</f>
        <v>2.2971925793770054</v>
      </c>
      <c r="K28" s="72">
        <f>IF(C28&gt;0,9.81*(H28/100)*($X$22-X28),"")</f>
        <v>0</v>
      </c>
      <c r="L28" s="73">
        <f>IF(C28&gt;0,(X28*J28^2)/2,"")</f>
        <v>1.1155295233941038</v>
      </c>
      <c r="M28" s="377">
        <f>IF(C28&gt;0,1/(1.14+2*LOG(Y28/Konstante!$D$32))^2,"")</f>
        <v>4.3623934007088638E-2</v>
      </c>
      <c r="N28" s="324">
        <f>IF(C28&gt;0,(M28*L28*(E28/100))/Y28,"")</f>
        <v>7.2995679467255145E-2</v>
      </c>
      <c r="O28" s="72">
        <f>IF(ISBLANK(C28),"",IF((E28/100)&lt;Y28,Z28,AJ28))</f>
        <v>0</v>
      </c>
      <c r="P28" s="401"/>
      <c r="Q28" s="74" t="str">
        <f>IF(OR(B217="Nicht möglich",C217="Nicht möglich"),"Richtung nicht möglich",IF(AND(C28=0,D28=0,E28=0),"Werte eingeben",IF(AND(J28&lt;1.2,OR(F28&gt;180,F28&lt;-180))," v &lt; 1,2 m/s, Winkel &gt; 180°",IF(AND(J28&gt;6,OR(F28&gt;180,F28&lt;-180)),"v &gt; 6 m/s, Winkel &gt; 180°",IF(J28&lt;1.2,"v &lt; 1,2 m/s",IF(J28&gt;6,"v &gt; 6 m/s",IF(OR(F28&gt;180,F28&lt;-180),"Winkel &gt;180°","Eingabe I.O.")))))))</f>
        <v>Eingabe I.O.</v>
      </c>
      <c r="R28" s="38" t="str">
        <f>IF($C$29&gt;0+AND($C$28&gt;0),"",IF($C$29&gt;0+AND($C$28=""),1,IF($C$29=149:149+AND($C$28=149:149),2,"")))</f>
        <v/>
      </c>
      <c r="S28" s="406">
        <f>IF(C28&gt;0,E28,"")</f>
        <v>30</v>
      </c>
      <c r="T28" s="405">
        <f>IF(C28&gt;0,E28/2,"")</f>
        <v>15</v>
      </c>
      <c r="U28" s="396">
        <f t="shared" ref="U28:U56" si="1">IF(C28&gt;0,C28*D28/10000,"")</f>
        <v>0.04</v>
      </c>
      <c r="V28" s="378">
        <f>IF(C28&gt;0,(273+I28)/273,"")</f>
        <v>2.9575649680764382</v>
      </c>
      <c r="W28" s="379">
        <f>IF(C28&gt;0,0.00273*$F$11*$V$16*V28,"")</f>
        <v>9.1887703175080215E-2</v>
      </c>
      <c r="X28" s="395">
        <f>IF(C28&gt;0,1.282/($V$16*V28),"")</f>
        <v>0.42278177228980546</v>
      </c>
      <c r="Y28" s="381">
        <f>IF(C28&gt;0,4*U28/(2*(D28/100+C28/100)),"")</f>
        <v>0.19999999999999998</v>
      </c>
      <c r="Z28" s="382" t="str">
        <f t="shared" ref="Z28:Z57" si="2">IF(AND((E28/100)&lt;Y28,C28&gt;0),AE28+((AB28)/((AB28)+(AC28)))*(AG28-AF28-AE28)*(1-((E28/100)/Y28)),"")</f>
        <v/>
      </c>
      <c r="AA28" s="170" t="str">
        <f t="shared" ref="AA28:AA57" si="3">IF(AND((E28/100)&lt;Y28,C28&gt;0),AF28+((AC28)/((AB28)+(AC28)))*(AG28-AF28-AE28)*(1-((E28/100)/Y28)),"")</f>
        <v/>
      </c>
      <c r="AB28" s="383">
        <f>IF(C28&gt;0,F28,"")</f>
        <v>0</v>
      </c>
      <c r="AC28" s="384">
        <f>IF(AND(C28&gt;0,C29&gt;0),F29,IF(AND(C28&gt;0,ISBLANK(C29)),ABS($F$57),""))</f>
        <v>90</v>
      </c>
      <c r="AD28" s="383">
        <f>IF(ISBLANK(C28),"",ABS(AC28-AB28))</f>
        <v>90</v>
      </c>
      <c r="AE28" s="272">
        <f>IF(C28&gt;0,(IF(ABS(AB28)&lt;=10,(ABS(AB28)-Konstante!$A$24)*(Konstante!$B$25-Konstante!$B$24)/(Konstante!$A$25-Konstante!$A$24)+Konstante!$B$24,IF(ABS(AB28)&lt;=30,(ABS(AB28)-Konstante!$A$25)*(Konstante!$B$26-Konstante!$B$25)/(Konstante!$A$26-Konstante!$A$25)+Konstante!$B$25,IF(ABS(AB28)&lt;=45,(ABS(AB28)-Konstante!$A$26)*(Konstante!$B$27-Konstante!$B$26)/(Konstante!$A$27-Konstante!$A$26)+Konstante!$B$26,IF(ABS(AB28)&lt;=60,(ABS(AB28)-Konstante!$A$27)*(Konstante!$B$28-Konstante!$B$27)/(Konstante!$A$28-Konstante!$A$27)+Konstante!$B$27,IF(ABS(AB28)&lt;=180,(ABS(AB28)-Konstante!$A$28)*(Konstante!$B$29-Konstante!$B$28)/(Konstante!$A$29-Konstante!$A$28)+Konstante!$B$28,"Winkel zu groß")))))),"")</f>
        <v>0</v>
      </c>
      <c r="AF28" s="385">
        <f>IF(C28&gt;0,(IF(ABS(AC28)&lt;=10,(ABS(AC28)-Konstante!$A$24)*(Konstante!$B$25-Konstante!$B$24)/(Konstante!$A$25-Konstante!$A$24)+Konstante!$B$24,IF(ABS(AC28)&lt;=30,(ABS(AC28)-Konstante!$A$25)*(Konstante!$B$26-Konstante!$B$25)/(Konstante!$A$26-Konstante!$A$25)+Konstante!$B$25,IF(ABS(AC28)&lt;=45,(ABS(AC28)-Konstante!$A$26)*(Konstante!$B$27-Konstante!$B$26)/(Konstante!$A$27-Konstante!$A$26)+Konstante!$B$26,IF(ABS(AC28)&lt;=60,(ABS(AC28)-Konstante!$A$27)*(Konstante!$B$28-Konstante!$B$27)/(Konstante!$A$28-Konstante!$A$27)+Konstante!$B$27,IF(ABS(AC28)&lt;=180,(ABS(AC28)-Konstante!$A$28)*(Konstante!$B$29-Konstante!$B$28)/(Konstante!$A$29-Konstante!$A$28)+Konstante!$B$28,"Winkev zu groß")))))),"")</f>
        <v>1.2</v>
      </c>
      <c r="AG28" s="385">
        <f>IF(C28&gt;0,(IF(ABS(AD28)&lt;=10,(ABS(AD28)-Konstante!$A$24)*(Konstante!$B$25-Konstante!$B$24)/(Konstante!$A$25-Konstante!$A$24)+Konstante!$B$24,IF(ABS(AD28)&lt;=30,(ABS(AD28)-Konstante!$A$25)*(Konstante!$B$26-Konstante!$B$25)/(Konstante!$A$26-Konstante!$A$25)+Konstante!$B$25,IF(ABS(AD28)&lt;=45,(ABS(AD28)-Konstante!$A$26)*(Konstante!$B$27-Konstante!$B$26)/(Konstante!$A$27-Konstante!$A$26)+Konstante!$B$26,IF(ABS(AD28)&lt;=60,(ABS(AD28)-Konstante!$A$27)*(Konstante!$B$28-Konstante!$B$27)/(Konstante!$A$28-Konstante!$A$27)+Konstante!$B$27,IF(ABS(AD28)&lt;=180,(ABS(AD28)-Konstante!$A$28)*(Konstante!$B$29-Konstante!$B$28)/(Konstante!$A$29-Konstante!$A$28)+Konstante!$B$28,"Winkel zu groß")))))),"")</f>
        <v>1.2</v>
      </c>
      <c r="AH28" s="114"/>
      <c r="AI28" s="114" t="s">
        <v>336</v>
      </c>
      <c r="AJ28" s="73">
        <f>IF(ABS(F28)&lt;=10,(ABS(F28)-Konstante!$A$24)*(Konstante!$B$25-Konstante!$B$24)/(Konstante!$A$25-Konstante!$A$24)+Konstante!$B$24,IF(ABS(F28)&lt;=30,(ABS(F28)-Konstante!$A$25)*(Konstante!$B$26-Konstante!$B$25)/(Konstante!$A$26-Konstante!$A$25)+Konstante!$B$25,IF(ABS(F28)&lt;=45,(ABS(F28)-Konstante!$A$26)*(Konstante!$B$27-Konstante!$B$26)/(Konstante!$A$27-Konstante!$A$26)+Konstante!$B$26,IF(ABS(F28)&lt;=60,(ABS(F28)-Konstante!$A$27)*(Konstante!$B$28-Konstante!$B$27)/(Konstante!$A$28-Konstante!$A$27)+Konstante!$B$27,IF(ABS(F28)&lt;=90,(ABS(F28)-Konstante!$A$28)*(Konstante!$B$29-Konstante!$B$28)/(Konstante!$A$29-Konstante!$A$28)+Konstante!$B$28,IF(ABS(F28)&lt;=120,(ABS(F28)-Konstante!$A$30)*(Konstante!$B$30-Konstante!$B$29)/(Konstante!$A$30-Konstante!$A$29)+Konstante!$B$29,"Winkel zu groß"))))))</f>
        <v>0</v>
      </c>
      <c r="AK28" s="388"/>
      <c r="AL28" s="388"/>
    </row>
    <row r="29" spans="1:38" ht="14.25" thickBot="1" x14ac:dyDescent="0.3">
      <c r="A29" s="350">
        <f t="shared" si="0"/>
        <v>2</v>
      </c>
      <c r="B29" s="436">
        <f t="shared" ref="B29:B56" si="4">B28+1</f>
        <v>1</v>
      </c>
      <c r="C29" s="190">
        <v>20</v>
      </c>
      <c r="D29" s="191">
        <v>20</v>
      </c>
      <c r="E29" s="191">
        <v>80</v>
      </c>
      <c r="F29" s="437">
        <v>90</v>
      </c>
      <c r="G29" s="192" t="s">
        <v>313</v>
      </c>
      <c r="H29" s="174">
        <f t="shared" ref="H29:H57" si="5">IF(G29="Oben",E29,IF(G29="Unten",-E29,(IF(OR(G29="L-O",G29="R-O",G29="V-O",G29="H-O"),(SIN(F29*PI()/180)*E29),(IF(OR(G29="L-U",G29="R-U",G29="V-U",G29="H-U"),-(SIN(F29*PI()/180)*E29),0))))))</f>
        <v>-80</v>
      </c>
      <c r="I29" s="78">
        <f t="shared" ref="I29:I55" si="6">IF(C29&gt;0,550*EXP(-0.83*(T29/100)/$F$14),"")</f>
        <v>480.95526728197456</v>
      </c>
      <c r="J29" s="171">
        <f t="shared" ref="J29:J56" si="7">IF(C29&gt;0,W29/U29,"")</f>
        <v>2.1450925959134253</v>
      </c>
      <c r="K29" s="65">
        <f>IF(C29&gt;0,9.81*(H29/100)*($X$22-X29),"")</f>
        <v>-6.3441184697614714</v>
      </c>
      <c r="L29" s="76">
        <f>IF(C29&gt;0,(X29*J29^2)/2,"")</f>
        <v>1.0416689234667813</v>
      </c>
      <c r="M29" s="398">
        <f>IF(C29&gt;0,1/(1.14+2*LOG(Y29/Konstante!$D$32))^2,"")</f>
        <v>4.3623934007088638E-2</v>
      </c>
      <c r="N29" s="325">
        <f>IF(C29&gt;0,(M29*L29*(E29/100))/Y29,"")</f>
        <v>0.18176678549819977</v>
      </c>
      <c r="O29" s="65">
        <f t="shared" ref="O29:O56" si="8">IF(ISBLANK(E29),"",IF(AND(G29=G28,F29=0,U28&gt;U29),AL29,IF(AND(G29=G28,F29=0,U28&lt;U29),AK29,IF((E28/100)&lt;Y28,AA28+AK29+AL29,IF((E29/100)&lt;Y29,Z29+AK29+AL29,AJ29+AK29+AL29)))))</f>
        <v>1.2</v>
      </c>
      <c r="P29" s="403">
        <f>IF(C29&gt;0,O29*L29,"")</f>
        <v>1.2500027081601375</v>
      </c>
      <c r="Q29" s="74" t="str">
        <f t="shared" ref="Q29:Q57" si="9">IF(OR(B218="Nicht möglich",C218="Nicht möglich"),"Richtung nicht möglich",IF(AND(C29=0,D29=0,E29=0),"Werte eingeben",IF(AND(J29&lt;1.2,OR(F29&gt;180,F29&lt;-180))," v &lt; 1,2 m/s, Winkel &gt; 180°",IF(AND(J29&gt;6,OR(F29&gt;180,F29&lt;-180)),"v &gt; 6 m/s, Winkel &gt; 180°",IF(J29&lt;1.2,"v &lt; 1,2 m/s",IF(J29&gt;6,"v &gt; 6 m/s",IF(OR(F29&gt;180,F29&lt;-180),"Winkel &gt;180°","Eingabe I.O.")))))))</f>
        <v>Eingabe I.O.</v>
      </c>
      <c r="R29" s="38">
        <f t="shared" ref="R29:R35" si="10">IF(C30&gt;0+AND(C29&gt;0),"",IF(C30&gt;0+AND(C29=""),1,IF(C30=150:150+AND(C29=150:150),2,"")))</f>
        <v>2</v>
      </c>
      <c r="S29" s="406">
        <f>IF(C29&gt;0,E29+S28,"")</f>
        <v>110</v>
      </c>
      <c r="T29" s="405">
        <f>IF(C29&gt;0,S28+E29/2,"")</f>
        <v>70</v>
      </c>
      <c r="U29" s="396">
        <f t="shared" si="1"/>
        <v>0.04</v>
      </c>
      <c r="V29" s="378">
        <f t="shared" ref="V29:V56" si="11">IF(C29&gt;0,(273+I29)/273,"")</f>
        <v>2.7617409057947784</v>
      </c>
      <c r="W29" s="379">
        <f t="shared" ref="W29:W56" si="12">IF(C29&gt;0,0.00273*$F$11*$V$16*V29,"")</f>
        <v>8.5803703836537015E-2</v>
      </c>
      <c r="X29" s="395">
        <f t="shared" ref="X29:X56" si="13">IF(C29&gt;0,1.282/($V$16*V29),"")</f>
        <v>0.45275954606819097</v>
      </c>
      <c r="Y29" s="381">
        <f t="shared" ref="Y29:Y56" si="14">IF(C29&gt;0,4*U29/(2*(D29/100+C29/100)),"")</f>
        <v>0.19999999999999998</v>
      </c>
      <c r="Z29" s="382" t="str">
        <f>IF(AND((E29/100)&lt;Y29,C29&gt;0),AE29+((AB29)/((AB29)+(AC29)))*(AG29-AF29-AE29)*(1-((E29/100)/Y29)),"")</f>
        <v/>
      </c>
      <c r="AA29" s="170" t="str">
        <f>IF(AND((E29/100)&lt;Y29,C29&gt;0),AF29+((AC29)/((AB29)+(AC29)))*(AG29-AF29-AE29)*(1-((E29/100)/Y29)),"")</f>
        <v/>
      </c>
      <c r="AB29" s="383">
        <f t="shared" ref="AB29:AB57" si="15">IF(C29&gt;0,F29,"")</f>
        <v>90</v>
      </c>
      <c r="AC29" s="384">
        <f t="shared" ref="AC29:AC56" si="16">IF(AND(C29&gt;0,C30&gt;0),F30,IF(AND(C29&gt;0,ISBLANK(C30)),ABS($F$57),""))</f>
        <v>90</v>
      </c>
      <c r="AD29" s="383">
        <f t="shared" ref="AD29:AD57" si="17">IF(ISBLANK(C29),"",ABS(AC29-AB29))</f>
        <v>0</v>
      </c>
      <c r="AE29" s="272">
        <f>IF(C29&gt;0,(IF(ABS(AB29)&lt;=10,(ABS(AB29)-Konstante!$A$24)*(Konstante!$B$25-Konstante!$B$24)/(Konstante!$A$25-Konstante!$A$24)+Konstante!$B$24,IF(ABS(AB29)&lt;=30,(ABS(AB29)-Konstante!$A$25)*(Konstante!$B$26-Konstante!$B$25)/(Konstante!$A$26-Konstante!$A$25)+Konstante!$B$25,IF(ABS(AB29)&lt;=45,(ABS(AB29)-Konstante!$A$26)*(Konstante!$B$27-Konstante!$B$26)/(Konstante!$A$27-Konstante!$A$26)+Konstante!$B$26,IF(ABS(AB29)&lt;=60,(ABS(AB29)-Konstante!$A$27)*(Konstante!$B$28-Konstante!$B$27)/(Konstante!$A$28-Konstante!$A$27)+Konstante!$B$27,IF(ABS(AB29)&lt;=180,(ABS(AB29)-Konstante!$A$28)*(Konstante!$B$29-Konstante!$B$28)/(Konstante!$A$29-Konstante!$A$28)+Konstante!$B$28,"Winkel zu groß")))))),"")</f>
        <v>1.2</v>
      </c>
      <c r="AF29" s="385">
        <f>IF(C29&gt;0,(IF(ABS(AC29)&lt;=10,(ABS(AC29)-Konstante!$A$24)*(Konstante!$B$25-Konstante!$B$24)/(Konstante!$A$25-Konstante!$A$24)+Konstante!$B$24,IF(ABS(AC29)&lt;=30,(ABS(AC29)-Konstante!$A$25)*(Konstante!$B$26-Konstante!$B$25)/(Konstante!$A$26-Konstante!$A$25)+Konstante!$B$25,IF(ABS(AC29)&lt;=45,(ABS(AC29)-Konstante!$A$26)*(Konstante!$B$27-Konstante!$B$26)/(Konstante!$A$27-Konstante!$A$26)+Konstante!$B$26,IF(ABS(AC29)&lt;=60,(ABS(AC29)-Konstante!$A$27)*(Konstante!$B$28-Konstante!$B$27)/(Konstante!$A$28-Konstante!$A$27)+Konstante!$B$27,IF(ABS(AC29)&lt;=180,(ABS(AC29)-Konstante!$A$28)*(Konstante!$B$29-Konstante!$B$28)/(Konstante!$A$29-Konstante!$A$28)+Konstante!$B$28,"Winkev zu groß")))))),"")</f>
        <v>1.2</v>
      </c>
      <c r="AG29" s="385">
        <f>IF(C29&gt;0,(IF(ABS(AD29)&lt;=10,(ABS(AD29)-Konstante!$A$24)*(Konstante!$B$25-Konstante!$B$24)/(Konstante!$A$25-Konstante!$A$24)+Konstante!$B$24,IF(ABS(AD29)&lt;=30,(ABS(AD29)-Konstante!$A$25)*(Konstante!$B$26-Konstante!$B$25)/(Konstante!$A$26-Konstante!$A$25)+Konstante!$B$25,IF(ABS(AD29)&lt;=45,(ABS(AD29)-Konstante!$A$26)*(Konstante!$B$27-Konstante!$B$26)/(Konstante!$A$27-Konstante!$A$26)+Konstante!$B$26,IF(ABS(AD29)&lt;=60,(ABS(AD29)-Konstante!$A$27)*(Konstante!$B$28-Konstante!$B$27)/(Konstante!$A$28-Konstante!$A$27)+Konstante!$B$27,IF(ABS(AD29)&lt;=180,(ABS(AD29)-Konstante!$A$28)*(Konstante!$B$29-Konstante!$B$28)/(Konstante!$A$29-Konstante!$A$28)+Konstante!$B$28,"Winkel zu groß")))))),"")</f>
        <v>0</v>
      </c>
      <c r="AH29" s="114"/>
      <c r="AI29" s="114" t="str">
        <f t="shared" ref="AI29:AI56" si="18">IF(OR(AND(G28="Oben",G30="Unten"),AND(G28="Unten",G30="Oben"),AND(G28="Links",G30="Rechts"),AND(G28="Rechts",G30="Links"),AND(G28="Vorne",G30="Hinten"),AND(G28="Hinten",G30="Vorne"),AND(G28="L-O",G30="Rechts"),AND(G28="L-U",G30="Rechts"),AND(G28="R-O",G30="Links"),AND(G28="R-U",G30="Links"),AND(G28="L-O",G30="R-U"),AND(G28="L-U",G30="R-O"),AND(G28="R-U",G30="L-O"),AND(G28="R-U",G30="L-O"),AND(G28="H-U",G30="V-O"),AND(G28="V-O",G30="H-U"),AND(G28="H-O",G30="V-U"),AND(G28="V-U",G30="H-O")),"Nicht möglich","O.K.")</f>
        <v>O.K.</v>
      </c>
      <c r="AJ29" s="73">
        <f>IF(ABS(F29)&lt;=10,(ABS(F29)-Konstante!$A$24)*(Konstante!$B$25-Konstante!$B$24)/(Konstante!$A$25-Konstante!$A$24)+Konstante!$B$24,IF(ABS(F29)&lt;=30,(ABS(F29)-Konstante!$A$25)*(Konstante!$B$26-Konstante!$B$25)/(Konstante!$A$26-Konstante!$A$25)+Konstante!$B$25,IF(ABS(F29)&lt;=45,(ABS(F29)-Konstante!$A$26)*(Konstante!$B$27-Konstante!$B$26)/(Konstante!$A$27-Konstante!$A$26)+Konstante!$B$26,IF(ABS(F29)&lt;=60,(ABS(F29)-Konstante!$A$27)*(Konstante!$B$28-Konstante!$B$27)/(Konstante!$A$28-Konstante!$A$27)+Konstante!$B$27,IF(ABS(F29)&lt;=90,(ABS(F29)-Konstante!$A$28)*(Konstante!$B$29-Konstante!$B$28)/(Konstante!$A$29-Konstante!$A$28)+Konstante!$B$28,IF(ABS(F29)&lt;=120,(ABS(F29)-Konstante!$A$30)*(Konstante!$B$30-Konstante!$B$29)/(Konstante!$A$30-Konstante!$A$29)+Konstante!$B$29,"Winkel zu groß"))))))</f>
        <v>1.2</v>
      </c>
      <c r="AK29" s="225" t="str">
        <f t="shared" ref="AK29:AK40" si="19">IF(AND(U28&lt;U29,ISNUMBER(C29)),(1-(U28/U29))^2,"0")</f>
        <v>0</v>
      </c>
      <c r="AL29" s="225" t="str">
        <f t="shared" ref="AL29:AL56" si="20">IF(AND(ISNUMBER(C29),U28&gt;U29),(((1/0.63)-1)^2)*(1-(U29/U28)),"0")</f>
        <v>0</v>
      </c>
    </row>
    <row r="30" spans="1:38" hidden="1" x14ac:dyDescent="0.25">
      <c r="A30" s="350" t="str">
        <f t="shared" si="0"/>
        <v/>
      </c>
      <c r="B30" s="425">
        <f t="shared" si="4"/>
        <v>2</v>
      </c>
      <c r="C30" s="426"/>
      <c r="D30" s="427"/>
      <c r="E30" s="427"/>
      <c r="F30" s="428"/>
      <c r="G30" s="187"/>
      <c r="H30" s="429">
        <f t="shared" si="5"/>
        <v>0</v>
      </c>
      <c r="I30" s="430" t="str">
        <f t="shared" si="6"/>
        <v/>
      </c>
      <c r="J30" s="431" t="str">
        <f t="shared" si="7"/>
        <v/>
      </c>
      <c r="K30" s="432" t="str">
        <f t="shared" ref="K30:K56" si="21">IF(C30&gt;0,9.81*H30/100*($X$22-X30),"")</f>
        <v/>
      </c>
      <c r="L30" s="433" t="str">
        <f>IF(C30&gt;0,X30*J30^2/2,"")</f>
        <v/>
      </c>
      <c r="M30" s="369" t="str">
        <f>IF(C30&gt;0,1/(1.14+2*LOG(Y30/Konstante!$D$32))^2,"")</f>
        <v/>
      </c>
      <c r="N30" s="434" t="str">
        <f t="shared" ref="N30:N56" si="22">IF(C30&gt;0,(M30*L30*(E30/100))/Y30,"")</f>
        <v/>
      </c>
      <c r="O30" s="432" t="str">
        <f t="shared" si="8"/>
        <v/>
      </c>
      <c r="P30" s="435" t="str">
        <f>IF(C30&gt;0,O30*L30,"")</f>
        <v/>
      </c>
      <c r="Q30" s="74" t="str">
        <f t="shared" si="9"/>
        <v>Werte eingeben</v>
      </c>
      <c r="R30" s="38" t="str">
        <f t="shared" si="10"/>
        <v/>
      </c>
      <c r="S30" s="407" t="str">
        <f>IF(C30&gt;0,E30+S29,"")</f>
        <v/>
      </c>
      <c r="T30" s="225" t="str">
        <f t="shared" ref="T30:T56" si="23">IF(C30&gt;0,S29+E30/2,"")</f>
        <v/>
      </c>
      <c r="U30" s="397" t="str">
        <f t="shared" si="1"/>
        <v/>
      </c>
      <c r="V30" s="386" t="str">
        <f t="shared" si="11"/>
        <v/>
      </c>
      <c r="W30" s="272" t="str">
        <f t="shared" si="12"/>
        <v/>
      </c>
      <c r="X30" s="395" t="str">
        <f t="shared" si="13"/>
        <v/>
      </c>
      <c r="Y30" s="387" t="str">
        <f t="shared" si="14"/>
        <v/>
      </c>
      <c r="Z30" s="382" t="str">
        <f t="shared" si="2"/>
        <v/>
      </c>
      <c r="AA30" s="382" t="str">
        <f t="shared" si="3"/>
        <v/>
      </c>
      <c r="AB30" s="383" t="str">
        <f t="shared" si="15"/>
        <v/>
      </c>
      <c r="AC30" s="383" t="str">
        <f t="shared" si="16"/>
        <v/>
      </c>
      <c r="AD30" s="383" t="str">
        <f t="shared" si="17"/>
        <v/>
      </c>
      <c r="AE30" s="272" t="str">
        <f>IF(C30&gt;0,(IF(ABS(AB30)&lt;=10,(ABS(AB30)-Konstante!$A$24)*(Konstante!$B$25-Konstante!$B$24)/(Konstante!$A$25-Konstante!$A$24)+Konstante!$B$24,IF(ABS(AB30)&lt;=30,(ABS(AB30)-Konstante!$A$25)*(Konstante!$B$26-Konstante!$B$25)/(Konstante!$A$26-Konstante!$A$25)+Konstante!$B$25,IF(ABS(AB30)&lt;=45,(ABS(AB30)-Konstante!$A$26)*(Konstante!$B$27-Konstante!$B$26)/(Konstante!$A$27-Konstante!$A$26)+Konstante!$B$26,IF(ABS(AB30)&lt;=60,(ABS(AB30)-Konstante!$A$27)*(Konstante!$B$28-Konstante!$B$27)/(Konstante!$A$28-Konstante!$A$27)+Konstante!$B$27,IF(ABS(AB30)&lt;=180,(ABS(AB30)-Konstante!$A$28)*(Konstante!$B$29-Konstante!$B$28)/(Konstante!$A$29-Konstante!$A$28)+Konstante!$B$28,"Winkel zu groß")))))),"")</f>
        <v/>
      </c>
      <c r="AF30" s="272" t="str">
        <f>IF(C30&gt;0,(IF(ABS(AC30)&lt;=10,(ABS(AC30)-Konstante!$A$24)*(Konstante!$B$25-Konstante!$B$24)/(Konstante!$A$25-Konstante!$A$24)+Konstante!$B$24,IF(ABS(AC30)&lt;=30,(ABS(AC30)-Konstante!$A$25)*(Konstante!$B$26-Konstante!$B$25)/(Konstante!$A$26-Konstante!$A$25)+Konstante!$B$25,IF(ABS(AC30)&lt;=45,(ABS(AC30)-Konstante!$A$26)*(Konstante!$B$27-Konstante!$B$26)/(Konstante!$A$27-Konstante!$A$26)+Konstante!$B$26,IF(ABS(AC30)&lt;=60,(ABS(AC30)-Konstante!$A$27)*(Konstante!$B$28-Konstante!$B$27)/(Konstante!$A$28-Konstante!$A$27)+Konstante!$B$27,IF(ABS(AC30)&lt;=180,(ABS(AC30)-Konstante!$A$28)*(Konstante!$B$29-Konstante!$B$28)/(Konstante!$A$29-Konstante!$A$28)+Konstante!$B$28,"Winkev zu groß")))))),"")</f>
        <v/>
      </c>
      <c r="AG30" s="272" t="str">
        <f>IF(C30&gt;0,(IF(ABS(AD30)&lt;=10,(ABS(AD30)-Konstante!$A$24)*(Konstante!$B$25-Konstante!$B$24)/(Konstante!$A$25-Konstante!$A$24)+Konstante!$B$24,IF(ABS(AD30)&lt;=30,(ABS(AD30)-Konstante!$A$25)*(Konstante!$B$26-Konstante!$B$25)/(Konstante!$A$26-Konstante!$A$25)+Konstante!$B$25,IF(ABS(AD30)&lt;=45,(ABS(AD30)-Konstante!$A$26)*(Konstante!$B$27-Konstante!$B$26)/(Konstante!$A$27-Konstante!$A$26)+Konstante!$B$26,IF(ABS(AD30)&lt;=60,(ABS(AD30)-Konstante!$A$27)*(Konstante!$B$28-Konstante!$B$27)/(Konstante!$A$28-Konstante!$A$27)+Konstante!$B$27,IF(ABS(AD30)&lt;=180,(ABS(AD30)-Konstante!$A$28)*(Konstante!$B$29-Konstante!$B$28)/(Konstante!$A$29-Konstante!$A$28)+Konstante!$B$28,"Winkel zu groß")))))),"")</f>
        <v/>
      </c>
      <c r="AH30" s="18"/>
      <c r="AI30" s="18" t="str">
        <f t="shared" si="18"/>
        <v>O.K.</v>
      </c>
      <c r="AJ30" s="225">
        <f>IF(ABS(F30)&lt;=10,(ABS(F30)-Konstante!$A$24)*(Konstante!$B$25-Konstante!$B$24)/(Konstante!$A$25-Konstante!$A$24)+Konstante!$B$24,IF(ABS(F30)&lt;=30,(ABS(F30)-Konstante!$A$25)*(Konstante!$B$26-Konstante!$B$25)/(Konstante!$A$26-Konstante!$A$25)+Konstante!$B$25,IF(ABS(F30)&lt;=45,(ABS(F30)-Konstante!$A$26)*(Konstante!$B$27-Konstante!$B$26)/(Konstante!$A$27-Konstante!$A$26)+Konstante!$B$26,IF(ABS(F30)&lt;=60,(ABS(F30)-Konstante!$A$27)*(Konstante!$B$28-Konstante!$B$27)/(Konstante!$A$28-Konstante!$A$27)+Konstante!$B$27,IF(ABS(F30)&lt;=90,(ABS(F30)-Konstante!$A$28)*(Konstante!$B$29-Konstante!$B$28)/(Konstante!$A$29-Konstante!$A$28)+Konstante!$B$28,IF(ABS(F30)&lt;=120,(ABS(F30)-Konstante!$A$30)*(Konstante!$B$30-Konstante!$B$29)/(Konstante!$A$30-Konstante!$A$29)+Konstante!$B$29,"Winkel zu groß"))))))</f>
        <v>0</v>
      </c>
      <c r="AK30" s="225" t="str">
        <f t="shared" si="19"/>
        <v>0</v>
      </c>
      <c r="AL30" s="225" t="str">
        <f t="shared" si="20"/>
        <v>0</v>
      </c>
    </row>
    <row r="31" spans="1:38" hidden="1" x14ac:dyDescent="0.25">
      <c r="A31" s="350" t="str">
        <f t="shared" si="0"/>
        <v/>
      </c>
      <c r="B31" s="71">
        <f>B30+1</f>
        <v>3</v>
      </c>
      <c r="C31" s="183"/>
      <c r="D31" s="184"/>
      <c r="E31" s="184"/>
      <c r="F31" s="185"/>
      <c r="G31" s="186"/>
      <c r="H31" s="173">
        <f t="shared" si="5"/>
        <v>0</v>
      </c>
      <c r="I31" s="172" t="str">
        <f t="shared" si="6"/>
        <v/>
      </c>
      <c r="J31" s="170" t="str">
        <f t="shared" si="7"/>
        <v/>
      </c>
      <c r="K31" s="72" t="str">
        <f t="shared" si="21"/>
        <v/>
      </c>
      <c r="L31" s="73" t="str">
        <f t="shared" ref="L31:L56" si="24">IF(C31&gt;0,X31*J31^2/2,"")</f>
        <v/>
      </c>
      <c r="M31" s="377" t="str">
        <f>IF(C31&gt;0,1/(1.14+2*LOG(Y31/Konstante!$D$32))^2,"")</f>
        <v/>
      </c>
      <c r="N31" s="324" t="str">
        <f t="shared" si="22"/>
        <v/>
      </c>
      <c r="O31" s="72" t="str">
        <f t="shared" si="8"/>
        <v/>
      </c>
      <c r="P31" s="402" t="str">
        <f>IF(C31&gt;0,O31*L31,"")</f>
        <v/>
      </c>
      <c r="Q31" s="74" t="str">
        <f>IF(OR(B220="Nicht möglich",C220="Nicht möglich"),"Richtung nicht möglich",IF(AND(C31=0,D31=0,E31=0),"Werte eingeben",IF(AND(J31&lt;1.2,OR(F31&gt;180,F31&lt;-180))," v &lt; 1,2 m/s, Winkel &gt; 180°",IF(AND(J31&gt;6,OR(F31&gt;180,F31&lt;-180)),"v &gt; 6 m/s, Winkel &gt; 180°",IF(J31&lt;1.2,"v &lt; 1,2 m/s",IF(J31&gt;6,"v &gt; 6 m/s",IF(OR(F31&gt;180,F31&lt;-180),"Winkel &gt;180°","Eingabe I.O.")))))))</f>
        <v>Werte eingeben</v>
      </c>
      <c r="R31" s="38" t="str">
        <f t="shared" si="10"/>
        <v/>
      </c>
      <c r="S31" s="407" t="str">
        <f>IF(C31&gt;0,E31+S30,"")</f>
        <v/>
      </c>
      <c r="T31" s="225" t="str">
        <f t="shared" si="23"/>
        <v/>
      </c>
      <c r="U31" s="397" t="str">
        <f t="shared" si="1"/>
        <v/>
      </c>
      <c r="V31" s="386" t="str">
        <f t="shared" si="11"/>
        <v/>
      </c>
      <c r="W31" s="272" t="str">
        <f t="shared" si="12"/>
        <v/>
      </c>
      <c r="X31" s="395" t="str">
        <f t="shared" si="13"/>
        <v/>
      </c>
      <c r="Y31" s="387" t="str">
        <f t="shared" si="14"/>
        <v/>
      </c>
      <c r="Z31" s="382" t="str">
        <f t="shared" si="2"/>
        <v/>
      </c>
      <c r="AA31" s="382" t="str">
        <f t="shared" si="3"/>
        <v/>
      </c>
      <c r="AB31" s="383" t="str">
        <f t="shared" si="15"/>
        <v/>
      </c>
      <c r="AC31" s="383" t="str">
        <f t="shared" si="16"/>
        <v/>
      </c>
      <c r="AD31" s="383" t="str">
        <f t="shared" si="17"/>
        <v/>
      </c>
      <c r="AE31" s="272" t="str">
        <f>IF(C31&gt;0,(IF(ABS(AB31)&lt;=10,(ABS(AB31)-Konstante!$A$24)*(Konstante!$B$25-Konstante!$B$24)/(Konstante!$A$25-Konstante!$A$24)+Konstante!$B$24,IF(ABS(AB31)&lt;=30,(ABS(AB31)-Konstante!$A$25)*(Konstante!$B$26-Konstante!$B$25)/(Konstante!$A$26-Konstante!$A$25)+Konstante!$B$25,IF(ABS(AB31)&lt;=45,(ABS(AB31)-Konstante!$A$26)*(Konstante!$B$27-Konstante!$B$26)/(Konstante!$A$27-Konstante!$A$26)+Konstante!$B$26,IF(ABS(AB31)&lt;=60,(ABS(AB31)-Konstante!$A$27)*(Konstante!$B$28-Konstante!$B$27)/(Konstante!$A$28-Konstante!$A$27)+Konstante!$B$27,IF(ABS(AB31)&lt;=180,(ABS(AB31)-Konstante!$A$28)*(Konstante!$B$29-Konstante!$B$28)/(Konstante!$A$29-Konstante!$A$28)+Konstante!$B$28,"Winkel zu groß")))))),"")</f>
        <v/>
      </c>
      <c r="AF31" s="272" t="str">
        <f>IF(C31&gt;0,(IF(ABS(AC31)&lt;=10,(ABS(AC31)-Konstante!$A$24)*(Konstante!$B$25-Konstante!$B$24)/(Konstante!$A$25-Konstante!$A$24)+Konstante!$B$24,IF(ABS(AC31)&lt;=30,(ABS(AC31)-Konstante!$A$25)*(Konstante!$B$26-Konstante!$B$25)/(Konstante!$A$26-Konstante!$A$25)+Konstante!$B$25,IF(ABS(AC31)&lt;=45,(ABS(AC31)-Konstante!$A$26)*(Konstante!$B$27-Konstante!$B$26)/(Konstante!$A$27-Konstante!$A$26)+Konstante!$B$26,IF(ABS(AC31)&lt;=60,(ABS(AC31)-Konstante!$A$27)*(Konstante!$B$28-Konstante!$B$27)/(Konstante!$A$28-Konstante!$A$27)+Konstante!$B$27,IF(ABS(AC31)&lt;=180,(ABS(AC31)-Konstante!$A$28)*(Konstante!$B$29-Konstante!$B$28)/(Konstante!$A$29-Konstante!$A$28)+Konstante!$B$28,"Winkev zu groß")))))),"")</f>
        <v/>
      </c>
      <c r="AG31" s="272" t="str">
        <f>IF(C31&gt;0,(IF(ABS(AD31)&lt;=10,(ABS(AD31)-Konstante!$A$24)*(Konstante!$B$25-Konstante!$B$24)/(Konstante!$A$25-Konstante!$A$24)+Konstante!$B$24,IF(ABS(AD31)&lt;=30,(ABS(AD31)-Konstante!$A$25)*(Konstante!$B$26-Konstante!$B$25)/(Konstante!$A$26-Konstante!$A$25)+Konstante!$B$25,IF(ABS(AD31)&lt;=45,(ABS(AD31)-Konstante!$A$26)*(Konstante!$B$27-Konstante!$B$26)/(Konstante!$A$27-Konstante!$A$26)+Konstante!$B$26,IF(ABS(AD31)&lt;=60,(ABS(AD31)-Konstante!$A$27)*(Konstante!$B$28-Konstante!$B$27)/(Konstante!$A$28-Konstante!$A$27)+Konstante!$B$27,IF(ABS(AD31)&lt;=180,(ABS(AD31)-Konstante!$A$28)*(Konstante!$B$29-Konstante!$B$28)/(Konstante!$A$29-Konstante!$A$28)+Konstante!$B$28,"Winkel zu groß")))))),"")</f>
        <v/>
      </c>
      <c r="AH31" s="18"/>
      <c r="AI31" s="18" t="str">
        <f t="shared" si="18"/>
        <v>O.K.</v>
      </c>
      <c r="AJ31" s="225">
        <f>IF(ABS(F31)&lt;=10,(ABS(F31)-Konstante!$A$24)*(Konstante!$B$25-Konstante!$B$24)/(Konstante!$A$25-Konstante!$A$24)+Konstante!$B$24,IF(ABS(F31)&lt;=30,(ABS(F31)-Konstante!$A$25)*(Konstante!$B$26-Konstante!$B$25)/(Konstante!$A$26-Konstante!$A$25)+Konstante!$B$25,IF(ABS(F31)&lt;=45,(ABS(F31)-Konstante!$A$26)*(Konstante!$B$27-Konstante!$B$26)/(Konstante!$A$27-Konstante!$A$26)+Konstante!$B$26,IF(ABS(F31)&lt;=60,(ABS(F31)-Konstante!$A$27)*(Konstante!$B$28-Konstante!$B$27)/(Konstante!$A$28-Konstante!$A$27)+Konstante!$B$27,IF(ABS(F31)&lt;=90,(ABS(F31)-Konstante!$A$28)*(Konstante!$B$29-Konstante!$B$28)/(Konstante!$A$29-Konstante!$A$28)+Konstante!$B$28,IF(ABS(F31)&lt;=120,(ABS(F31)-Konstante!$A$30)*(Konstante!$B$30-Konstante!$B$29)/(Konstante!$A$30-Konstante!$A$29)+Konstante!$B$29,"Winkel zu groß"))))))</f>
        <v>0</v>
      </c>
      <c r="AK31" s="225" t="str">
        <f t="shared" si="19"/>
        <v>0</v>
      </c>
      <c r="AL31" s="225" t="str">
        <f t="shared" si="20"/>
        <v>0</v>
      </c>
    </row>
    <row r="32" spans="1:38" hidden="1" x14ac:dyDescent="0.25">
      <c r="A32" s="350" t="str">
        <f t="shared" si="0"/>
        <v/>
      </c>
      <c r="B32" s="71">
        <f t="shared" si="4"/>
        <v>4</v>
      </c>
      <c r="C32" s="183"/>
      <c r="D32" s="184"/>
      <c r="E32" s="184"/>
      <c r="F32" s="185"/>
      <c r="G32" s="186"/>
      <c r="H32" s="173">
        <f t="shared" si="5"/>
        <v>0</v>
      </c>
      <c r="I32" s="172" t="str">
        <f t="shared" si="6"/>
        <v/>
      </c>
      <c r="J32" s="170" t="str">
        <f t="shared" si="7"/>
        <v/>
      </c>
      <c r="K32" s="72" t="str">
        <f t="shared" si="21"/>
        <v/>
      </c>
      <c r="L32" s="73" t="str">
        <f t="shared" si="24"/>
        <v/>
      </c>
      <c r="M32" s="377" t="str">
        <f>IF(C32&gt;0,1/(1.14+2*LOG(Y32/Konstante!$D$32))^2,"")</f>
        <v/>
      </c>
      <c r="N32" s="324" t="str">
        <f t="shared" si="22"/>
        <v/>
      </c>
      <c r="O32" s="72" t="str">
        <f t="shared" si="8"/>
        <v/>
      </c>
      <c r="P32" s="402" t="str">
        <f t="shared" ref="P32:P56" si="25">IF(C32&gt;0,O32*L32,"")</f>
        <v/>
      </c>
      <c r="Q32" s="74" t="str">
        <f t="shared" si="9"/>
        <v>Werte eingeben</v>
      </c>
      <c r="R32" s="38" t="str">
        <f t="shared" si="10"/>
        <v/>
      </c>
      <c r="S32" s="407" t="str">
        <f t="shared" ref="S32:S56" si="26">IF(C32&gt;0,E32+S31,"")</f>
        <v/>
      </c>
      <c r="T32" s="225" t="str">
        <f t="shared" si="23"/>
        <v/>
      </c>
      <c r="U32" s="397" t="str">
        <f t="shared" si="1"/>
        <v/>
      </c>
      <c r="V32" s="386" t="str">
        <f t="shared" si="11"/>
        <v/>
      </c>
      <c r="W32" s="272" t="str">
        <f t="shared" si="12"/>
        <v/>
      </c>
      <c r="X32" s="395" t="str">
        <f t="shared" si="13"/>
        <v/>
      </c>
      <c r="Y32" s="387" t="str">
        <f t="shared" si="14"/>
        <v/>
      </c>
      <c r="Z32" s="382" t="str">
        <f t="shared" si="2"/>
        <v/>
      </c>
      <c r="AA32" s="382" t="str">
        <f t="shared" si="3"/>
        <v/>
      </c>
      <c r="AB32" s="383" t="str">
        <f t="shared" si="15"/>
        <v/>
      </c>
      <c r="AC32" s="383" t="str">
        <f t="shared" si="16"/>
        <v/>
      </c>
      <c r="AD32" s="383" t="str">
        <f t="shared" si="17"/>
        <v/>
      </c>
      <c r="AE32" s="272" t="str">
        <f>IF(C32&gt;0,(IF(ABS(AB32)&lt;=10,(ABS(AB32)-Konstante!$A$24)*(Konstante!$B$25-Konstante!$B$24)/(Konstante!$A$25-Konstante!$A$24)+Konstante!$B$24,IF(ABS(AB32)&lt;=30,(ABS(AB32)-Konstante!$A$25)*(Konstante!$B$26-Konstante!$B$25)/(Konstante!$A$26-Konstante!$A$25)+Konstante!$B$25,IF(ABS(AB32)&lt;=45,(ABS(AB32)-Konstante!$A$26)*(Konstante!$B$27-Konstante!$B$26)/(Konstante!$A$27-Konstante!$A$26)+Konstante!$B$26,IF(ABS(AB32)&lt;=60,(ABS(AB32)-Konstante!$A$27)*(Konstante!$B$28-Konstante!$B$27)/(Konstante!$A$28-Konstante!$A$27)+Konstante!$B$27,IF(ABS(AB32)&lt;=180,(ABS(AB32)-Konstante!$A$28)*(Konstante!$B$29-Konstante!$B$28)/(Konstante!$A$29-Konstante!$A$28)+Konstante!$B$28,"Winkel zu groß")))))),"")</f>
        <v/>
      </c>
      <c r="AF32" s="272" t="str">
        <f>IF(C32&gt;0,(IF(ABS(AC32)&lt;=10,(ABS(AC32)-Konstante!$A$24)*(Konstante!$B$25-Konstante!$B$24)/(Konstante!$A$25-Konstante!$A$24)+Konstante!$B$24,IF(ABS(AC32)&lt;=30,(ABS(AC32)-Konstante!$A$25)*(Konstante!$B$26-Konstante!$B$25)/(Konstante!$A$26-Konstante!$A$25)+Konstante!$B$25,IF(ABS(AC32)&lt;=45,(ABS(AC32)-Konstante!$A$26)*(Konstante!$B$27-Konstante!$B$26)/(Konstante!$A$27-Konstante!$A$26)+Konstante!$B$26,IF(ABS(AC32)&lt;=60,(ABS(AC32)-Konstante!$A$27)*(Konstante!$B$28-Konstante!$B$27)/(Konstante!$A$28-Konstante!$A$27)+Konstante!$B$27,IF(ABS(AC32)&lt;=180,(ABS(AC32)-Konstante!$A$28)*(Konstante!$B$29-Konstante!$B$28)/(Konstante!$A$29-Konstante!$A$28)+Konstante!$B$28,"Winkev zu groß")))))),"")</f>
        <v/>
      </c>
      <c r="AG32" s="272" t="str">
        <f>IF(C32&gt;0,(IF(ABS(AD32)&lt;=10,(ABS(AD32)-Konstante!$A$24)*(Konstante!$B$25-Konstante!$B$24)/(Konstante!$A$25-Konstante!$A$24)+Konstante!$B$24,IF(ABS(AD32)&lt;=30,(ABS(AD32)-Konstante!$A$25)*(Konstante!$B$26-Konstante!$B$25)/(Konstante!$A$26-Konstante!$A$25)+Konstante!$B$25,IF(ABS(AD32)&lt;=45,(ABS(AD32)-Konstante!$A$26)*(Konstante!$B$27-Konstante!$B$26)/(Konstante!$A$27-Konstante!$A$26)+Konstante!$B$26,IF(ABS(AD32)&lt;=60,(ABS(AD32)-Konstante!$A$27)*(Konstante!$B$28-Konstante!$B$27)/(Konstante!$A$28-Konstante!$A$27)+Konstante!$B$27,IF(ABS(AD32)&lt;=180,(ABS(AD32)-Konstante!$A$28)*(Konstante!$B$29-Konstante!$B$28)/(Konstante!$A$29-Konstante!$A$28)+Konstante!$B$28,"Winkel zu groß")))))),"")</f>
        <v/>
      </c>
      <c r="AH32" s="18"/>
      <c r="AI32" s="18" t="str">
        <f>IF(OR(AND(G31="Oben",G33="Unten"),AND(G31="Unten",G33="Oben"),AND(G31="Links",G33="Rechts"),AND(G31="Rechts",G33="Links"),AND(G31="Vorne",G33="Hinten"),AND(G31="Hinten",G33="Vorne"),AND(G31="L-O",G33="Rechts"),AND(G31="L-U",G33="Rechts"),AND(G31="R-O",G33="Links"),AND(G31="R-U",G33="Links"),AND(G31="L-O",G33="R-U"),AND(G31="L-U",G33="R-O"),AND(G31="R-U",G33="L-O"),AND(G31="R-U",G33="L-O"),AND(G31="H-U",G33="V-O"),AND(G31="V-O",G33="H-U"),AND(G31="H-O",G33="V-U"),AND(G31="V-U",G33="H-O")),"Nicht möglich","O.K.")</f>
        <v>O.K.</v>
      </c>
      <c r="AJ32" s="225">
        <f>IF(ABS(F32)&lt;=10,(ABS(F32)-Konstante!$A$24)*(Konstante!$B$25-Konstante!$B$24)/(Konstante!$A$25-Konstante!$A$24)+Konstante!$B$24,IF(ABS(F32)&lt;=30,(ABS(F32)-Konstante!$A$25)*(Konstante!$B$26-Konstante!$B$25)/(Konstante!$A$26-Konstante!$A$25)+Konstante!$B$25,IF(ABS(F32)&lt;=45,(ABS(F32)-Konstante!$A$26)*(Konstante!$B$27-Konstante!$B$26)/(Konstante!$A$27-Konstante!$A$26)+Konstante!$B$26,IF(ABS(F32)&lt;=60,(ABS(F32)-Konstante!$A$27)*(Konstante!$B$28-Konstante!$B$27)/(Konstante!$A$28-Konstante!$A$27)+Konstante!$B$27,IF(ABS(F32)&lt;=90,(ABS(F32)-Konstante!$A$28)*(Konstante!$B$29-Konstante!$B$28)/(Konstante!$A$29-Konstante!$A$28)+Konstante!$B$28,IF(ABS(F32)&lt;=120,(ABS(F32)-Konstante!$A$30)*(Konstante!$B$30-Konstante!$B$29)/(Konstante!$A$30-Konstante!$A$29)+Konstante!$B$29,"Winkel zu groß"))))))</f>
        <v>0</v>
      </c>
      <c r="AK32" s="225" t="str">
        <f t="shared" si="19"/>
        <v>0</v>
      </c>
      <c r="AL32" s="225" t="str">
        <f t="shared" si="20"/>
        <v>0</v>
      </c>
    </row>
    <row r="33" spans="1:38" hidden="1" x14ac:dyDescent="0.25">
      <c r="A33" s="350" t="str">
        <f t="shared" si="0"/>
        <v/>
      </c>
      <c r="B33" s="71">
        <f t="shared" si="4"/>
        <v>5</v>
      </c>
      <c r="C33" s="183"/>
      <c r="D33" s="184"/>
      <c r="E33" s="184"/>
      <c r="F33" s="185"/>
      <c r="G33" s="186"/>
      <c r="H33" s="173">
        <f t="shared" si="5"/>
        <v>0</v>
      </c>
      <c r="I33" s="172" t="str">
        <f t="shared" si="6"/>
        <v/>
      </c>
      <c r="J33" s="170" t="str">
        <f t="shared" si="7"/>
        <v/>
      </c>
      <c r="K33" s="72" t="str">
        <f t="shared" si="21"/>
        <v/>
      </c>
      <c r="L33" s="73" t="str">
        <f t="shared" si="24"/>
        <v/>
      </c>
      <c r="M33" s="377" t="str">
        <f>IF(C33&gt;0,1/(1.14+2*LOG(Y33/Konstante!$D$32))^2,"")</f>
        <v/>
      </c>
      <c r="N33" s="324" t="str">
        <f t="shared" si="22"/>
        <v/>
      </c>
      <c r="O33" s="72" t="str">
        <f t="shared" si="8"/>
        <v/>
      </c>
      <c r="P33" s="402" t="str">
        <f t="shared" si="25"/>
        <v/>
      </c>
      <c r="Q33" s="74" t="str">
        <f>IF(OR(B222="Nicht möglich",C222="Nicht möglich"),"Richtung nicht möglich",IF(AND(C33=0,D33=0,E33=0),"Werte eingeben",IF(AND(J33&lt;1.2,OR(F33&gt;180,F33&lt;-180))," v &lt; 1,2 m/s, Winkel &gt; 180°",IF(AND(J33&gt;6,OR(F33&gt;180,F33&lt;-180)),"v &gt; 6 m/s, Winkel &gt; 180°",IF(J33&lt;1.2,"v &lt; 1,2 m/s",IF(J33&gt;6,"v &gt; 6 m/s",IF(OR(F33&gt;180,F33&lt;-180),"Winkel &gt;180°","Eingabe I.O.")))))))</f>
        <v>Werte eingeben</v>
      </c>
      <c r="R33" s="38" t="str">
        <f t="shared" si="10"/>
        <v/>
      </c>
      <c r="S33" s="407" t="str">
        <f t="shared" si="26"/>
        <v/>
      </c>
      <c r="T33" s="225" t="str">
        <f t="shared" si="23"/>
        <v/>
      </c>
      <c r="U33" s="397" t="str">
        <f t="shared" si="1"/>
        <v/>
      </c>
      <c r="V33" s="386" t="str">
        <f t="shared" si="11"/>
        <v/>
      </c>
      <c r="W33" s="272" t="str">
        <f t="shared" si="12"/>
        <v/>
      </c>
      <c r="X33" s="395" t="str">
        <f t="shared" si="13"/>
        <v/>
      </c>
      <c r="Y33" s="387" t="str">
        <f t="shared" si="14"/>
        <v/>
      </c>
      <c r="Z33" s="382" t="str">
        <f t="shared" si="2"/>
        <v/>
      </c>
      <c r="AA33" s="382" t="str">
        <f t="shared" si="3"/>
        <v/>
      </c>
      <c r="AB33" s="383" t="str">
        <f t="shared" si="15"/>
        <v/>
      </c>
      <c r="AC33" s="383" t="str">
        <f t="shared" si="16"/>
        <v/>
      </c>
      <c r="AD33" s="383" t="str">
        <f t="shared" si="17"/>
        <v/>
      </c>
      <c r="AE33" s="272" t="str">
        <f>IF(C33&gt;0,(IF(ABS(AB33)&lt;=10,(ABS(AB33)-Konstante!$A$24)*(Konstante!$B$25-Konstante!$B$24)/(Konstante!$A$25-Konstante!$A$24)+Konstante!$B$24,IF(ABS(AB33)&lt;=30,(ABS(AB33)-Konstante!$A$25)*(Konstante!$B$26-Konstante!$B$25)/(Konstante!$A$26-Konstante!$A$25)+Konstante!$B$25,IF(ABS(AB33)&lt;=45,(ABS(AB33)-Konstante!$A$26)*(Konstante!$B$27-Konstante!$B$26)/(Konstante!$A$27-Konstante!$A$26)+Konstante!$B$26,IF(ABS(AB33)&lt;=60,(ABS(AB33)-Konstante!$A$27)*(Konstante!$B$28-Konstante!$B$27)/(Konstante!$A$28-Konstante!$A$27)+Konstante!$B$27,IF(ABS(AB33)&lt;=180,(ABS(AB33)-Konstante!$A$28)*(Konstante!$B$29-Konstante!$B$28)/(Konstante!$A$29-Konstante!$A$28)+Konstante!$B$28,"Winkel zu groß")))))),"")</f>
        <v/>
      </c>
      <c r="AF33" s="272" t="str">
        <f>IF(C33&gt;0,(IF(ABS(AC33)&lt;=10,(ABS(AC33)-Konstante!$A$24)*(Konstante!$B$25-Konstante!$B$24)/(Konstante!$A$25-Konstante!$A$24)+Konstante!$B$24,IF(ABS(AC33)&lt;=30,(ABS(AC33)-Konstante!$A$25)*(Konstante!$B$26-Konstante!$B$25)/(Konstante!$A$26-Konstante!$A$25)+Konstante!$B$25,IF(ABS(AC33)&lt;=45,(ABS(AC33)-Konstante!$A$26)*(Konstante!$B$27-Konstante!$B$26)/(Konstante!$A$27-Konstante!$A$26)+Konstante!$B$26,IF(ABS(AC33)&lt;=60,(ABS(AC33)-Konstante!$A$27)*(Konstante!$B$28-Konstante!$B$27)/(Konstante!$A$28-Konstante!$A$27)+Konstante!$B$27,IF(ABS(AC33)&lt;=180,(ABS(AC33)-Konstante!$A$28)*(Konstante!$B$29-Konstante!$B$28)/(Konstante!$A$29-Konstante!$A$28)+Konstante!$B$28,"Winkev zu groß")))))),"")</f>
        <v/>
      </c>
      <c r="AG33" s="272" t="str">
        <f>IF(C33&gt;0,(IF(ABS(AD33)&lt;=10,(ABS(AD33)-Konstante!$A$24)*(Konstante!$B$25-Konstante!$B$24)/(Konstante!$A$25-Konstante!$A$24)+Konstante!$B$24,IF(ABS(AD33)&lt;=30,(ABS(AD33)-Konstante!$A$25)*(Konstante!$B$26-Konstante!$B$25)/(Konstante!$A$26-Konstante!$A$25)+Konstante!$B$25,IF(ABS(AD33)&lt;=45,(ABS(AD33)-Konstante!$A$26)*(Konstante!$B$27-Konstante!$B$26)/(Konstante!$A$27-Konstante!$A$26)+Konstante!$B$26,IF(ABS(AD33)&lt;=60,(ABS(AD33)-Konstante!$A$27)*(Konstante!$B$28-Konstante!$B$27)/(Konstante!$A$28-Konstante!$A$27)+Konstante!$B$27,IF(ABS(AD33)&lt;=180,(ABS(AD33)-Konstante!$A$28)*(Konstante!$B$29-Konstante!$B$28)/(Konstante!$A$29-Konstante!$A$28)+Konstante!$B$28,"Winkel zu groß")))))),"")</f>
        <v/>
      </c>
      <c r="AH33" s="18"/>
      <c r="AI33" s="18" t="str">
        <f t="shared" si="18"/>
        <v>O.K.</v>
      </c>
      <c r="AJ33" s="225">
        <f>IF(ABS(F33)&lt;=10,(ABS(F33)-Konstante!$A$24)*(Konstante!$B$25-Konstante!$B$24)/(Konstante!$A$25-Konstante!$A$24)+Konstante!$B$24,IF(ABS(F33)&lt;=30,(ABS(F33)-Konstante!$A$25)*(Konstante!$B$26-Konstante!$B$25)/(Konstante!$A$26-Konstante!$A$25)+Konstante!$B$25,IF(ABS(F33)&lt;=45,(ABS(F33)-Konstante!$A$26)*(Konstante!$B$27-Konstante!$B$26)/(Konstante!$A$27-Konstante!$A$26)+Konstante!$B$26,IF(ABS(F33)&lt;=60,(ABS(F33)-Konstante!$A$27)*(Konstante!$B$28-Konstante!$B$27)/(Konstante!$A$28-Konstante!$A$27)+Konstante!$B$27,IF(ABS(F33)&lt;=90,(ABS(F33)-Konstante!$A$28)*(Konstante!$B$29-Konstante!$B$28)/(Konstante!$A$29-Konstante!$A$28)+Konstante!$B$28,IF(ABS(F33)&lt;=120,(ABS(F33)-Konstante!$A$30)*(Konstante!$B$30-Konstante!$B$29)/(Konstante!$A$30-Konstante!$A$29)+Konstante!$B$29,"Winkel zu groß"))))))</f>
        <v>0</v>
      </c>
      <c r="AK33" s="225" t="str">
        <f t="shared" si="19"/>
        <v>0</v>
      </c>
      <c r="AL33" s="225" t="str">
        <f t="shared" si="20"/>
        <v>0</v>
      </c>
    </row>
    <row r="34" spans="1:38" hidden="1" x14ac:dyDescent="0.25">
      <c r="A34" s="350" t="str">
        <f t="shared" si="0"/>
        <v/>
      </c>
      <c r="B34" s="71">
        <f t="shared" si="4"/>
        <v>6</v>
      </c>
      <c r="C34" s="183"/>
      <c r="D34" s="184"/>
      <c r="E34" s="184"/>
      <c r="F34" s="184"/>
      <c r="G34" s="187"/>
      <c r="H34" s="173">
        <f t="shared" si="5"/>
        <v>0</v>
      </c>
      <c r="I34" s="172" t="str">
        <f t="shared" si="6"/>
        <v/>
      </c>
      <c r="J34" s="170" t="str">
        <f t="shared" si="7"/>
        <v/>
      </c>
      <c r="K34" s="72" t="str">
        <f t="shared" si="21"/>
        <v/>
      </c>
      <c r="L34" s="73" t="str">
        <f t="shared" si="24"/>
        <v/>
      </c>
      <c r="M34" s="377" t="str">
        <f>IF(C34&gt;0,1/(1.14+2*LOG(Y34/Konstante!$D$32))^2,"")</f>
        <v/>
      </c>
      <c r="N34" s="324" t="str">
        <f t="shared" si="22"/>
        <v/>
      </c>
      <c r="O34" s="72" t="str">
        <f t="shared" si="8"/>
        <v/>
      </c>
      <c r="P34" s="402" t="str">
        <f t="shared" si="25"/>
        <v/>
      </c>
      <c r="Q34" s="74" t="str">
        <f t="shared" si="9"/>
        <v>Werte eingeben</v>
      </c>
      <c r="R34" s="38" t="str">
        <f t="shared" si="10"/>
        <v/>
      </c>
      <c r="S34" s="407" t="str">
        <f t="shared" si="26"/>
        <v/>
      </c>
      <c r="T34" s="225" t="str">
        <f t="shared" si="23"/>
        <v/>
      </c>
      <c r="U34" s="397" t="str">
        <f t="shared" si="1"/>
        <v/>
      </c>
      <c r="V34" s="386" t="str">
        <f t="shared" si="11"/>
        <v/>
      </c>
      <c r="W34" s="272" t="str">
        <f t="shared" si="12"/>
        <v/>
      </c>
      <c r="X34" s="395" t="str">
        <f t="shared" si="13"/>
        <v/>
      </c>
      <c r="Y34" s="387" t="str">
        <f t="shared" si="14"/>
        <v/>
      </c>
      <c r="Z34" s="382" t="str">
        <f t="shared" si="2"/>
        <v/>
      </c>
      <c r="AA34" s="382" t="str">
        <f t="shared" si="3"/>
        <v/>
      </c>
      <c r="AB34" s="383" t="str">
        <f t="shared" si="15"/>
        <v/>
      </c>
      <c r="AC34" s="383" t="str">
        <f t="shared" si="16"/>
        <v/>
      </c>
      <c r="AD34" s="383" t="str">
        <f t="shared" si="17"/>
        <v/>
      </c>
      <c r="AE34" s="272" t="str">
        <f>IF(C34&gt;0,(IF(ABS(AB34)&lt;=10,(ABS(AB34)-Konstante!$A$24)*(Konstante!$B$25-Konstante!$B$24)/(Konstante!$A$25-Konstante!$A$24)+Konstante!$B$24,IF(ABS(AB34)&lt;=30,(ABS(AB34)-Konstante!$A$25)*(Konstante!$B$26-Konstante!$B$25)/(Konstante!$A$26-Konstante!$A$25)+Konstante!$B$25,IF(ABS(AB34)&lt;=45,(ABS(AB34)-Konstante!$A$26)*(Konstante!$B$27-Konstante!$B$26)/(Konstante!$A$27-Konstante!$A$26)+Konstante!$B$26,IF(ABS(AB34)&lt;=60,(ABS(AB34)-Konstante!$A$27)*(Konstante!$B$28-Konstante!$B$27)/(Konstante!$A$28-Konstante!$A$27)+Konstante!$B$27,IF(ABS(AB34)&lt;=180,(ABS(AB34)-Konstante!$A$28)*(Konstante!$B$29-Konstante!$B$28)/(Konstante!$A$29-Konstante!$A$28)+Konstante!$B$28,"Winkel zu groß")))))),"")</f>
        <v/>
      </c>
      <c r="AF34" s="272" t="str">
        <f>IF(C34&gt;0,(IF(ABS(AC34)&lt;=10,(ABS(AC34)-Konstante!$A$24)*(Konstante!$B$25-Konstante!$B$24)/(Konstante!$A$25-Konstante!$A$24)+Konstante!$B$24,IF(ABS(AC34)&lt;=30,(ABS(AC34)-Konstante!$A$25)*(Konstante!$B$26-Konstante!$B$25)/(Konstante!$A$26-Konstante!$A$25)+Konstante!$B$25,IF(ABS(AC34)&lt;=45,(ABS(AC34)-Konstante!$A$26)*(Konstante!$B$27-Konstante!$B$26)/(Konstante!$A$27-Konstante!$A$26)+Konstante!$B$26,IF(ABS(AC34)&lt;=60,(ABS(AC34)-Konstante!$A$27)*(Konstante!$B$28-Konstante!$B$27)/(Konstante!$A$28-Konstante!$A$27)+Konstante!$B$27,IF(ABS(AC34)&lt;=180,(ABS(AC34)-Konstante!$A$28)*(Konstante!$B$29-Konstante!$B$28)/(Konstante!$A$29-Konstante!$A$28)+Konstante!$B$28,"Winkev zu groß")))))),"")</f>
        <v/>
      </c>
      <c r="AG34" s="272" t="str">
        <f>IF(C34&gt;0,(IF(ABS(AD34)&lt;=10,(ABS(AD34)-Konstante!$A$24)*(Konstante!$B$25-Konstante!$B$24)/(Konstante!$A$25-Konstante!$A$24)+Konstante!$B$24,IF(ABS(AD34)&lt;=30,(ABS(AD34)-Konstante!$A$25)*(Konstante!$B$26-Konstante!$B$25)/(Konstante!$A$26-Konstante!$A$25)+Konstante!$B$25,IF(ABS(AD34)&lt;=45,(ABS(AD34)-Konstante!$A$26)*(Konstante!$B$27-Konstante!$B$26)/(Konstante!$A$27-Konstante!$A$26)+Konstante!$B$26,IF(ABS(AD34)&lt;=60,(ABS(AD34)-Konstante!$A$27)*(Konstante!$B$28-Konstante!$B$27)/(Konstante!$A$28-Konstante!$A$27)+Konstante!$B$27,IF(ABS(AD34)&lt;=180,(ABS(AD34)-Konstante!$A$28)*(Konstante!$B$29-Konstante!$B$28)/(Konstante!$A$29-Konstante!$A$28)+Konstante!$B$28,"Winkel zu groß")))))),"")</f>
        <v/>
      </c>
      <c r="AH34" s="18"/>
      <c r="AI34" s="18" t="str">
        <f t="shared" si="18"/>
        <v>O.K.</v>
      </c>
      <c r="AJ34" s="225">
        <f>IF(ABS(F34)&lt;=10,(ABS(F34)-Konstante!$A$24)*(Konstante!$B$25-Konstante!$B$24)/(Konstante!$A$25-Konstante!$A$24)+Konstante!$B$24,IF(ABS(F34)&lt;=30,(ABS(F34)-Konstante!$A$25)*(Konstante!$B$26-Konstante!$B$25)/(Konstante!$A$26-Konstante!$A$25)+Konstante!$B$25,IF(ABS(F34)&lt;=45,(ABS(F34)-Konstante!$A$26)*(Konstante!$B$27-Konstante!$B$26)/(Konstante!$A$27-Konstante!$A$26)+Konstante!$B$26,IF(ABS(F34)&lt;=60,(ABS(F34)-Konstante!$A$27)*(Konstante!$B$28-Konstante!$B$27)/(Konstante!$A$28-Konstante!$A$27)+Konstante!$B$27,IF(ABS(F34)&lt;=90,(ABS(F34)-Konstante!$A$28)*(Konstante!$B$29-Konstante!$B$28)/(Konstante!$A$29-Konstante!$A$28)+Konstante!$B$28,IF(ABS(F34)&lt;=120,(ABS(F34)-Konstante!$A$30)*(Konstante!$B$30-Konstante!$B$29)/(Konstante!$A$30-Konstante!$A$29)+Konstante!$B$29,"Winkel zu groß"))))))</f>
        <v>0</v>
      </c>
      <c r="AK34" s="225" t="str">
        <f t="shared" si="19"/>
        <v>0</v>
      </c>
      <c r="AL34" s="225" t="str">
        <f t="shared" si="20"/>
        <v>0</v>
      </c>
    </row>
    <row r="35" spans="1:38" hidden="1" x14ac:dyDescent="0.25">
      <c r="A35" s="350" t="str">
        <f t="shared" si="0"/>
        <v/>
      </c>
      <c r="B35" s="71">
        <f t="shared" si="4"/>
        <v>7</v>
      </c>
      <c r="C35" s="188"/>
      <c r="D35" s="189"/>
      <c r="E35" s="189"/>
      <c r="F35" s="189"/>
      <c r="G35" s="186"/>
      <c r="H35" s="173">
        <f t="shared" si="5"/>
        <v>0</v>
      </c>
      <c r="I35" s="172" t="str">
        <f t="shared" si="6"/>
        <v/>
      </c>
      <c r="J35" s="170" t="str">
        <f t="shared" si="7"/>
        <v/>
      </c>
      <c r="K35" s="72" t="str">
        <f t="shared" si="21"/>
        <v/>
      </c>
      <c r="L35" s="73" t="str">
        <f t="shared" si="24"/>
        <v/>
      </c>
      <c r="M35" s="377" t="str">
        <f>IF(C35&gt;0,1/(1.14+2*LOG(Y35/Konstante!$D$32))^2,"")</f>
        <v/>
      </c>
      <c r="N35" s="324" t="str">
        <f t="shared" si="22"/>
        <v/>
      </c>
      <c r="O35" s="72" t="str">
        <f t="shared" si="8"/>
        <v/>
      </c>
      <c r="P35" s="402" t="str">
        <f t="shared" si="25"/>
        <v/>
      </c>
      <c r="Q35" s="74" t="str">
        <f t="shared" si="9"/>
        <v>Werte eingeben</v>
      </c>
      <c r="R35" s="38" t="str">
        <f t="shared" si="10"/>
        <v/>
      </c>
      <c r="S35" s="407" t="str">
        <f t="shared" si="26"/>
        <v/>
      </c>
      <c r="T35" s="225" t="str">
        <f t="shared" si="23"/>
        <v/>
      </c>
      <c r="U35" s="397" t="str">
        <f t="shared" si="1"/>
        <v/>
      </c>
      <c r="V35" s="386" t="str">
        <f t="shared" si="11"/>
        <v/>
      </c>
      <c r="W35" s="272" t="str">
        <f t="shared" si="12"/>
        <v/>
      </c>
      <c r="X35" s="395" t="str">
        <f t="shared" si="13"/>
        <v/>
      </c>
      <c r="Y35" s="387" t="str">
        <f t="shared" si="14"/>
        <v/>
      </c>
      <c r="Z35" s="382" t="str">
        <f t="shared" si="2"/>
        <v/>
      </c>
      <c r="AA35" s="382" t="str">
        <f t="shared" si="3"/>
        <v/>
      </c>
      <c r="AB35" s="383" t="str">
        <f t="shared" si="15"/>
        <v/>
      </c>
      <c r="AC35" s="383" t="str">
        <f t="shared" si="16"/>
        <v/>
      </c>
      <c r="AD35" s="383" t="str">
        <f t="shared" si="17"/>
        <v/>
      </c>
      <c r="AE35" s="272" t="str">
        <f>IF(C35&gt;0,(IF(ABS(AB35)&lt;=10,(ABS(AB35)-Konstante!$A$24)*(Konstante!$B$25-Konstante!$B$24)/(Konstante!$A$25-Konstante!$A$24)+Konstante!$B$24,IF(ABS(AB35)&lt;=30,(ABS(AB35)-Konstante!$A$25)*(Konstante!$B$26-Konstante!$B$25)/(Konstante!$A$26-Konstante!$A$25)+Konstante!$B$25,IF(ABS(AB35)&lt;=45,(ABS(AB35)-Konstante!$A$26)*(Konstante!$B$27-Konstante!$B$26)/(Konstante!$A$27-Konstante!$A$26)+Konstante!$B$26,IF(ABS(AB35)&lt;=60,(ABS(AB35)-Konstante!$A$27)*(Konstante!$B$28-Konstante!$B$27)/(Konstante!$A$28-Konstante!$A$27)+Konstante!$B$27,IF(ABS(AB35)&lt;=180,(ABS(AB35)-Konstante!$A$28)*(Konstante!$B$29-Konstante!$B$28)/(Konstante!$A$29-Konstante!$A$28)+Konstante!$B$28,"Winkel zu groß")))))),"")</f>
        <v/>
      </c>
      <c r="AF35" s="272" t="str">
        <f>IF(C35&gt;0,(IF(ABS(AC35)&lt;=10,(ABS(AC35)-Konstante!$A$24)*(Konstante!$B$25-Konstante!$B$24)/(Konstante!$A$25-Konstante!$A$24)+Konstante!$B$24,IF(ABS(AC35)&lt;=30,(ABS(AC35)-Konstante!$A$25)*(Konstante!$B$26-Konstante!$B$25)/(Konstante!$A$26-Konstante!$A$25)+Konstante!$B$25,IF(ABS(AC35)&lt;=45,(ABS(AC35)-Konstante!$A$26)*(Konstante!$B$27-Konstante!$B$26)/(Konstante!$A$27-Konstante!$A$26)+Konstante!$B$26,IF(ABS(AC35)&lt;=60,(ABS(AC35)-Konstante!$A$27)*(Konstante!$B$28-Konstante!$B$27)/(Konstante!$A$28-Konstante!$A$27)+Konstante!$B$27,IF(ABS(AC35)&lt;=180,(ABS(AC35)-Konstante!$A$28)*(Konstante!$B$29-Konstante!$B$28)/(Konstante!$A$29-Konstante!$A$28)+Konstante!$B$28,"Winkev zu groß")))))),"")</f>
        <v/>
      </c>
      <c r="AG35" s="272" t="str">
        <f>IF(C35&gt;0,(IF(ABS(AD35)&lt;=10,(ABS(AD35)-Konstante!$A$24)*(Konstante!$B$25-Konstante!$B$24)/(Konstante!$A$25-Konstante!$A$24)+Konstante!$B$24,IF(ABS(AD35)&lt;=30,(ABS(AD35)-Konstante!$A$25)*(Konstante!$B$26-Konstante!$B$25)/(Konstante!$A$26-Konstante!$A$25)+Konstante!$B$25,IF(ABS(AD35)&lt;=45,(ABS(AD35)-Konstante!$A$26)*(Konstante!$B$27-Konstante!$B$26)/(Konstante!$A$27-Konstante!$A$26)+Konstante!$B$26,IF(ABS(AD35)&lt;=60,(ABS(AD35)-Konstante!$A$27)*(Konstante!$B$28-Konstante!$B$27)/(Konstante!$A$28-Konstante!$A$27)+Konstante!$B$27,IF(ABS(AD35)&lt;=180,(ABS(AD35)-Konstante!$A$28)*(Konstante!$B$29-Konstante!$B$28)/(Konstante!$A$29-Konstante!$A$28)+Konstante!$B$28,"Winkel zu groß")))))),"")</f>
        <v/>
      </c>
      <c r="AH35" s="18"/>
      <c r="AI35" s="18" t="str">
        <f t="shared" si="18"/>
        <v>O.K.</v>
      </c>
      <c r="AJ35" s="225">
        <f>IF(ABS(F35)&lt;=10,(ABS(F35)-Konstante!$A$24)*(Konstante!$B$25-Konstante!$B$24)/(Konstante!$A$25-Konstante!$A$24)+Konstante!$B$24,IF(ABS(F35)&lt;=30,(ABS(F35)-Konstante!$A$25)*(Konstante!$B$26-Konstante!$B$25)/(Konstante!$A$26-Konstante!$A$25)+Konstante!$B$25,IF(ABS(F35)&lt;=45,(ABS(F35)-Konstante!$A$26)*(Konstante!$B$27-Konstante!$B$26)/(Konstante!$A$27-Konstante!$A$26)+Konstante!$B$26,IF(ABS(F35)&lt;=60,(ABS(F35)-Konstante!$A$27)*(Konstante!$B$28-Konstante!$B$27)/(Konstante!$A$28-Konstante!$A$27)+Konstante!$B$27,IF(ABS(F35)&lt;=90,(ABS(F35)-Konstante!$A$28)*(Konstante!$B$29-Konstante!$B$28)/(Konstante!$A$29-Konstante!$A$28)+Konstante!$B$28,IF(ABS(F35)&lt;=120,(ABS(F35)-Konstante!$A$30)*(Konstante!$B$30-Konstante!$B$29)/(Konstante!$A$30-Konstante!$A$29)+Konstante!$B$29,"Winkel zu groß"))))))</f>
        <v>0</v>
      </c>
      <c r="AK35" s="225" t="str">
        <f t="shared" si="19"/>
        <v>0</v>
      </c>
      <c r="AL35" s="225" t="str">
        <f t="shared" si="20"/>
        <v>0</v>
      </c>
    </row>
    <row r="36" spans="1:38" hidden="1" x14ac:dyDescent="0.25">
      <c r="A36" s="350" t="str">
        <f t="shared" si="0"/>
        <v/>
      </c>
      <c r="B36" s="71">
        <f t="shared" si="4"/>
        <v>8</v>
      </c>
      <c r="C36" s="188"/>
      <c r="D36" s="189"/>
      <c r="E36" s="189"/>
      <c r="F36" s="189"/>
      <c r="G36" s="186"/>
      <c r="H36" s="173">
        <f t="shared" si="5"/>
        <v>0</v>
      </c>
      <c r="I36" s="172" t="str">
        <f>IF(C36&gt;0,550*EXP(-0.83*(T36/100)/$F$14),"")</f>
        <v/>
      </c>
      <c r="J36" s="170" t="str">
        <f t="shared" si="7"/>
        <v/>
      </c>
      <c r="K36" s="72" t="str">
        <f t="shared" si="21"/>
        <v/>
      </c>
      <c r="L36" s="73" t="str">
        <f t="shared" si="24"/>
        <v/>
      </c>
      <c r="M36" s="377" t="str">
        <f>IF(C36&gt;0,1/(1.14+2*LOG(Y36/Konstante!$D$32))^2,"")</f>
        <v/>
      </c>
      <c r="N36" s="324" t="str">
        <f t="shared" si="22"/>
        <v/>
      </c>
      <c r="O36" s="72" t="str">
        <f t="shared" si="8"/>
        <v/>
      </c>
      <c r="P36" s="402" t="str">
        <f t="shared" si="25"/>
        <v/>
      </c>
      <c r="Q36" s="74" t="str">
        <f t="shared" si="9"/>
        <v>Werte eingeben</v>
      </c>
      <c r="R36" s="38" t="str">
        <f>IF(C37&gt;0+AND(C36&gt;0),"",IF(C37&gt;0+AND(C36=""),1,IF(C37=149:149+AND(C36=149:149),2,"")))</f>
        <v/>
      </c>
      <c r="S36" s="407" t="str">
        <f t="shared" si="26"/>
        <v/>
      </c>
      <c r="T36" s="225" t="str">
        <f t="shared" si="23"/>
        <v/>
      </c>
      <c r="U36" s="397" t="str">
        <f t="shared" si="1"/>
        <v/>
      </c>
      <c r="V36" s="386" t="str">
        <f t="shared" si="11"/>
        <v/>
      </c>
      <c r="W36" s="272" t="str">
        <f t="shared" si="12"/>
        <v/>
      </c>
      <c r="X36" s="395" t="str">
        <f t="shared" si="13"/>
        <v/>
      </c>
      <c r="Y36" s="387" t="str">
        <f t="shared" si="14"/>
        <v/>
      </c>
      <c r="Z36" s="382" t="str">
        <f t="shared" si="2"/>
        <v/>
      </c>
      <c r="AA36" s="382" t="str">
        <f t="shared" si="3"/>
        <v/>
      </c>
      <c r="AB36" s="383" t="str">
        <f t="shared" si="15"/>
        <v/>
      </c>
      <c r="AC36" s="383" t="str">
        <f t="shared" si="16"/>
        <v/>
      </c>
      <c r="AD36" s="383" t="str">
        <f t="shared" si="17"/>
        <v/>
      </c>
      <c r="AE36" s="272" t="str">
        <f>IF(C36&gt;0,(IF(ABS(AB36)&lt;=10,(ABS(AB36)-Konstante!$A$24)*(Konstante!$B$25-Konstante!$B$24)/(Konstante!$A$25-Konstante!$A$24)+Konstante!$B$24,IF(ABS(AB36)&lt;=30,(ABS(AB36)-Konstante!$A$25)*(Konstante!$B$26-Konstante!$B$25)/(Konstante!$A$26-Konstante!$A$25)+Konstante!$B$25,IF(ABS(AB36)&lt;=45,(ABS(AB36)-Konstante!$A$26)*(Konstante!$B$27-Konstante!$B$26)/(Konstante!$A$27-Konstante!$A$26)+Konstante!$B$26,IF(ABS(AB36)&lt;=60,(ABS(AB36)-Konstante!$A$27)*(Konstante!$B$28-Konstante!$B$27)/(Konstante!$A$28-Konstante!$A$27)+Konstante!$B$27,IF(ABS(AB36)&lt;=180,(ABS(AB36)-Konstante!$A$28)*(Konstante!$B$29-Konstante!$B$28)/(Konstante!$A$29-Konstante!$A$28)+Konstante!$B$28,"Winkel zu groß")))))),"")</f>
        <v/>
      </c>
      <c r="AF36" s="272" t="str">
        <f>IF(C36&gt;0,(IF(ABS(AC36)&lt;=10,(ABS(AC36)-Konstante!$A$24)*(Konstante!$B$25-Konstante!$B$24)/(Konstante!$A$25-Konstante!$A$24)+Konstante!$B$24,IF(ABS(AC36)&lt;=30,(ABS(AC36)-Konstante!$A$25)*(Konstante!$B$26-Konstante!$B$25)/(Konstante!$A$26-Konstante!$A$25)+Konstante!$B$25,IF(ABS(AC36)&lt;=45,(ABS(AC36)-Konstante!$A$26)*(Konstante!$B$27-Konstante!$B$26)/(Konstante!$A$27-Konstante!$A$26)+Konstante!$B$26,IF(ABS(AC36)&lt;=60,(ABS(AC36)-Konstante!$A$27)*(Konstante!$B$28-Konstante!$B$27)/(Konstante!$A$28-Konstante!$A$27)+Konstante!$B$27,IF(ABS(AC36)&lt;=180,(ABS(AC36)-Konstante!$A$28)*(Konstante!$B$29-Konstante!$B$28)/(Konstante!$A$29-Konstante!$A$28)+Konstante!$B$28,"Winkev zu groß")))))),"")</f>
        <v/>
      </c>
      <c r="AG36" s="272" t="str">
        <f>IF(C36&gt;0,(IF(ABS(AD36)&lt;=10,(ABS(AD36)-Konstante!$A$24)*(Konstante!$B$25-Konstante!$B$24)/(Konstante!$A$25-Konstante!$A$24)+Konstante!$B$24,IF(ABS(AD36)&lt;=30,(ABS(AD36)-Konstante!$A$25)*(Konstante!$B$26-Konstante!$B$25)/(Konstante!$A$26-Konstante!$A$25)+Konstante!$B$25,IF(ABS(AD36)&lt;=45,(ABS(AD36)-Konstante!$A$26)*(Konstante!$B$27-Konstante!$B$26)/(Konstante!$A$27-Konstante!$A$26)+Konstante!$B$26,IF(ABS(AD36)&lt;=60,(ABS(AD36)-Konstante!$A$27)*(Konstante!$B$28-Konstante!$B$27)/(Konstante!$A$28-Konstante!$A$27)+Konstante!$B$27,IF(ABS(AD36)&lt;=180,(ABS(AD36)-Konstante!$A$28)*(Konstante!$B$29-Konstante!$B$28)/(Konstante!$A$29-Konstante!$A$28)+Konstante!$B$28,"Winkel zu groß")))))),"")</f>
        <v/>
      </c>
      <c r="AH36" s="18"/>
      <c r="AI36" s="18" t="str">
        <f t="shared" si="18"/>
        <v>O.K.</v>
      </c>
      <c r="AJ36" s="225">
        <f>IF(ABS(F36)&lt;=10,(ABS(F36)-Konstante!$A$24)*(Konstante!$B$25-Konstante!$B$24)/(Konstante!$A$25-Konstante!$A$24)+Konstante!$B$24,IF(ABS(F36)&lt;=30,(ABS(F36)-Konstante!$A$25)*(Konstante!$B$26-Konstante!$B$25)/(Konstante!$A$26-Konstante!$A$25)+Konstante!$B$25,IF(ABS(F36)&lt;=45,(ABS(F36)-Konstante!$A$26)*(Konstante!$B$27-Konstante!$B$26)/(Konstante!$A$27-Konstante!$A$26)+Konstante!$B$26,IF(ABS(F36)&lt;=60,(ABS(F36)-Konstante!$A$27)*(Konstante!$B$28-Konstante!$B$27)/(Konstante!$A$28-Konstante!$A$27)+Konstante!$B$27,IF(ABS(F36)&lt;=90,(ABS(F36)-Konstante!$A$28)*(Konstante!$B$29-Konstante!$B$28)/(Konstante!$A$29-Konstante!$A$28)+Konstante!$B$28,IF(ABS(F36)&lt;=120,(ABS(F36)-Konstante!$A$30)*(Konstante!$B$30-Konstante!$B$29)/(Konstante!$A$30-Konstante!$A$29)+Konstante!$B$29,"Winkel zu groß"))))))</f>
        <v>0</v>
      </c>
      <c r="AK36" s="225" t="str">
        <f t="shared" si="19"/>
        <v>0</v>
      </c>
      <c r="AL36" s="225" t="str">
        <f t="shared" si="20"/>
        <v>0</v>
      </c>
    </row>
    <row r="37" spans="1:38" hidden="1" x14ac:dyDescent="0.25">
      <c r="A37" s="350" t="str">
        <f t="shared" si="0"/>
        <v/>
      </c>
      <c r="B37" s="71">
        <f t="shared" si="4"/>
        <v>9</v>
      </c>
      <c r="C37" s="188"/>
      <c r="D37" s="189"/>
      <c r="E37" s="189"/>
      <c r="F37" s="189"/>
      <c r="G37" s="186"/>
      <c r="H37" s="173">
        <f t="shared" si="5"/>
        <v>0</v>
      </c>
      <c r="I37" s="172" t="str">
        <f>IF(C37&gt;0,550*EXP(-0.83*(T37/100)/$F$14),"")</f>
        <v/>
      </c>
      <c r="J37" s="170" t="str">
        <f t="shared" si="7"/>
        <v/>
      </c>
      <c r="K37" s="72" t="str">
        <f t="shared" si="21"/>
        <v/>
      </c>
      <c r="L37" s="73" t="str">
        <f t="shared" si="24"/>
        <v/>
      </c>
      <c r="M37" s="377" t="str">
        <f>IF(C37&gt;0,1/(1.14+2*LOG(Y37/Konstante!$D$32))^2,"")</f>
        <v/>
      </c>
      <c r="N37" s="324" t="str">
        <f t="shared" si="22"/>
        <v/>
      </c>
      <c r="O37" s="72" t="str">
        <f t="shared" si="8"/>
        <v/>
      </c>
      <c r="P37" s="402" t="str">
        <f t="shared" si="25"/>
        <v/>
      </c>
      <c r="Q37" s="74" t="str">
        <f t="shared" si="9"/>
        <v>Werte eingeben</v>
      </c>
      <c r="R37" s="38" t="str">
        <f t="shared" ref="R37:R55" si="27">IF(C38&gt;0+AND(C37&gt;0),"",IF(C38&gt;0+AND(C37=""),1,IF(C38=158:158+AND(C37=158:158),2,"")))</f>
        <v/>
      </c>
      <c r="S37" s="407" t="str">
        <f t="shared" si="26"/>
        <v/>
      </c>
      <c r="T37" s="225" t="str">
        <f t="shared" si="23"/>
        <v/>
      </c>
      <c r="U37" s="397" t="str">
        <f t="shared" si="1"/>
        <v/>
      </c>
      <c r="V37" s="386" t="str">
        <f t="shared" si="11"/>
        <v/>
      </c>
      <c r="W37" s="272" t="str">
        <f t="shared" si="12"/>
        <v/>
      </c>
      <c r="X37" s="395" t="str">
        <f>IF(C37&gt;0,1.282/($V$16*V37),"")</f>
        <v/>
      </c>
      <c r="Y37" s="387" t="str">
        <f t="shared" si="14"/>
        <v/>
      </c>
      <c r="Z37" s="382" t="str">
        <f t="shared" si="2"/>
        <v/>
      </c>
      <c r="AA37" s="382" t="str">
        <f t="shared" si="3"/>
        <v/>
      </c>
      <c r="AB37" s="383" t="str">
        <f t="shared" si="15"/>
        <v/>
      </c>
      <c r="AC37" s="383" t="str">
        <f t="shared" si="16"/>
        <v/>
      </c>
      <c r="AD37" s="383" t="str">
        <f t="shared" si="17"/>
        <v/>
      </c>
      <c r="AE37" s="272" t="str">
        <f>IF(C37&gt;0,(IF(ABS(AB37)&lt;=10,(ABS(AB37)-Konstante!$A$24)*(Konstante!$B$25-Konstante!$B$24)/(Konstante!$A$25-Konstante!$A$24)+Konstante!$B$24,IF(ABS(AB37)&lt;=30,(ABS(AB37)-Konstante!$A$25)*(Konstante!$B$26-Konstante!$B$25)/(Konstante!$A$26-Konstante!$A$25)+Konstante!$B$25,IF(ABS(AB37)&lt;=45,(ABS(AB37)-Konstante!$A$26)*(Konstante!$B$27-Konstante!$B$26)/(Konstante!$A$27-Konstante!$A$26)+Konstante!$B$26,IF(ABS(AB37)&lt;=60,(ABS(AB37)-Konstante!$A$27)*(Konstante!$B$28-Konstante!$B$27)/(Konstante!$A$28-Konstante!$A$27)+Konstante!$B$27,IF(ABS(AB37)&lt;=180,(ABS(AB37)-Konstante!$A$28)*(Konstante!$B$29-Konstante!$B$28)/(Konstante!$A$29-Konstante!$A$28)+Konstante!$B$28,"Winkel zu groß")))))),"")</f>
        <v/>
      </c>
      <c r="AF37" s="272" t="str">
        <f>IF(C37&gt;0,(IF(ABS(AC37)&lt;=10,(ABS(AC37)-Konstante!$A$24)*(Konstante!$B$25-Konstante!$B$24)/(Konstante!$A$25-Konstante!$A$24)+Konstante!$B$24,IF(ABS(AC37)&lt;=30,(ABS(AC37)-Konstante!$A$25)*(Konstante!$B$26-Konstante!$B$25)/(Konstante!$A$26-Konstante!$A$25)+Konstante!$B$25,IF(ABS(AC37)&lt;=45,(ABS(AC37)-Konstante!$A$26)*(Konstante!$B$27-Konstante!$B$26)/(Konstante!$A$27-Konstante!$A$26)+Konstante!$B$26,IF(ABS(AC37)&lt;=60,(ABS(AC37)-Konstante!$A$27)*(Konstante!$B$28-Konstante!$B$27)/(Konstante!$A$28-Konstante!$A$27)+Konstante!$B$27,IF(ABS(AC37)&lt;=180,(ABS(AC37)-Konstante!$A$28)*(Konstante!$B$29-Konstante!$B$28)/(Konstante!$A$29-Konstante!$A$28)+Konstante!$B$28,"Winkev zu groß")))))),"")</f>
        <v/>
      </c>
      <c r="AG37" s="272" t="str">
        <f>IF(C37&gt;0,(IF(ABS(AD37)&lt;=10,(ABS(AD37)-Konstante!$A$24)*(Konstante!$B$25-Konstante!$B$24)/(Konstante!$A$25-Konstante!$A$24)+Konstante!$B$24,IF(ABS(AD37)&lt;=30,(ABS(AD37)-Konstante!$A$25)*(Konstante!$B$26-Konstante!$B$25)/(Konstante!$A$26-Konstante!$A$25)+Konstante!$B$25,IF(ABS(AD37)&lt;=45,(ABS(AD37)-Konstante!$A$26)*(Konstante!$B$27-Konstante!$B$26)/(Konstante!$A$27-Konstante!$A$26)+Konstante!$B$26,IF(ABS(AD37)&lt;=60,(ABS(AD37)-Konstante!$A$27)*(Konstante!$B$28-Konstante!$B$27)/(Konstante!$A$28-Konstante!$A$27)+Konstante!$B$27,IF(ABS(AD37)&lt;=180,(ABS(AD37)-Konstante!$A$28)*(Konstante!$B$29-Konstante!$B$28)/(Konstante!$A$29-Konstante!$A$28)+Konstante!$B$28,"Winkel zu groß")))))),"")</f>
        <v/>
      </c>
      <c r="AH37" s="18"/>
      <c r="AI37" s="18" t="str">
        <f t="shared" si="18"/>
        <v>O.K.</v>
      </c>
      <c r="AJ37" s="225">
        <f>IF(ABS(F37)&lt;=10,(ABS(F37)-Konstante!$A$24)*(Konstante!$B$25-Konstante!$B$24)/(Konstante!$A$25-Konstante!$A$24)+Konstante!$B$24,IF(ABS(F37)&lt;=30,(ABS(F37)-Konstante!$A$25)*(Konstante!$B$26-Konstante!$B$25)/(Konstante!$A$26-Konstante!$A$25)+Konstante!$B$25,IF(ABS(F37)&lt;=45,(ABS(F37)-Konstante!$A$26)*(Konstante!$B$27-Konstante!$B$26)/(Konstante!$A$27-Konstante!$A$26)+Konstante!$B$26,IF(ABS(F37)&lt;=60,(ABS(F37)-Konstante!$A$27)*(Konstante!$B$28-Konstante!$B$27)/(Konstante!$A$28-Konstante!$A$27)+Konstante!$B$27,IF(ABS(F37)&lt;=90,(ABS(F37)-Konstante!$A$28)*(Konstante!$B$29-Konstante!$B$28)/(Konstante!$A$29-Konstante!$A$28)+Konstante!$B$28,IF(ABS(F37)&lt;=120,(ABS(F37)-Konstante!$A$30)*(Konstante!$B$30-Konstante!$B$29)/(Konstante!$A$30-Konstante!$A$29)+Konstante!$B$29,"Winkel zu groß"))))))</f>
        <v>0</v>
      </c>
      <c r="AK37" s="225" t="str">
        <f t="shared" si="19"/>
        <v>0</v>
      </c>
      <c r="AL37" s="225" t="str">
        <f t="shared" si="20"/>
        <v>0</v>
      </c>
    </row>
    <row r="38" spans="1:38" hidden="1" x14ac:dyDescent="0.25">
      <c r="A38" s="350" t="str">
        <f t="shared" si="0"/>
        <v/>
      </c>
      <c r="B38" s="71">
        <f t="shared" si="4"/>
        <v>10</v>
      </c>
      <c r="C38" s="188"/>
      <c r="D38" s="189"/>
      <c r="E38" s="189"/>
      <c r="F38" s="189"/>
      <c r="G38" s="186"/>
      <c r="H38" s="173">
        <f t="shared" si="5"/>
        <v>0</v>
      </c>
      <c r="I38" s="172" t="str">
        <f t="shared" si="6"/>
        <v/>
      </c>
      <c r="J38" s="170" t="str">
        <f t="shared" si="7"/>
        <v/>
      </c>
      <c r="K38" s="72" t="str">
        <f t="shared" si="21"/>
        <v/>
      </c>
      <c r="L38" s="73" t="str">
        <f t="shared" si="24"/>
        <v/>
      </c>
      <c r="M38" s="377" t="str">
        <f>IF(C38&gt;0,1/(1.14+2*LOG(Y38/Konstante!$D$32))^2,"")</f>
        <v/>
      </c>
      <c r="N38" s="324" t="str">
        <f t="shared" si="22"/>
        <v/>
      </c>
      <c r="O38" s="72" t="str">
        <f t="shared" si="8"/>
        <v/>
      </c>
      <c r="P38" s="402" t="str">
        <f t="shared" si="25"/>
        <v/>
      </c>
      <c r="Q38" s="74" t="str">
        <f t="shared" si="9"/>
        <v>Werte eingeben</v>
      </c>
      <c r="R38" s="38" t="str">
        <f t="shared" si="27"/>
        <v/>
      </c>
      <c r="S38" s="407" t="str">
        <f t="shared" si="26"/>
        <v/>
      </c>
      <c r="T38" s="225" t="str">
        <f t="shared" si="23"/>
        <v/>
      </c>
      <c r="U38" s="397" t="str">
        <f t="shared" si="1"/>
        <v/>
      </c>
      <c r="V38" s="386" t="str">
        <f t="shared" si="11"/>
        <v/>
      </c>
      <c r="W38" s="272" t="str">
        <f t="shared" si="12"/>
        <v/>
      </c>
      <c r="X38" s="395" t="str">
        <f t="shared" si="13"/>
        <v/>
      </c>
      <c r="Y38" s="387" t="str">
        <f t="shared" si="14"/>
        <v/>
      </c>
      <c r="Z38" s="382" t="str">
        <f t="shared" si="2"/>
        <v/>
      </c>
      <c r="AA38" s="382" t="str">
        <f t="shared" si="3"/>
        <v/>
      </c>
      <c r="AB38" s="383" t="str">
        <f t="shared" si="15"/>
        <v/>
      </c>
      <c r="AC38" s="383" t="str">
        <f t="shared" si="16"/>
        <v/>
      </c>
      <c r="AD38" s="383" t="str">
        <f t="shared" si="17"/>
        <v/>
      </c>
      <c r="AE38" s="272" t="str">
        <f>IF(C38&gt;0,(IF(ABS(AB38)&lt;=10,(ABS(AB38)-Konstante!$A$24)*(Konstante!$B$25-Konstante!$B$24)/(Konstante!$A$25-Konstante!$A$24)+Konstante!$B$24,IF(ABS(AB38)&lt;=30,(ABS(AB38)-Konstante!$A$25)*(Konstante!$B$26-Konstante!$B$25)/(Konstante!$A$26-Konstante!$A$25)+Konstante!$B$25,IF(ABS(AB38)&lt;=45,(ABS(AB38)-Konstante!$A$26)*(Konstante!$B$27-Konstante!$B$26)/(Konstante!$A$27-Konstante!$A$26)+Konstante!$B$26,IF(ABS(AB38)&lt;=60,(ABS(AB38)-Konstante!$A$27)*(Konstante!$B$28-Konstante!$B$27)/(Konstante!$A$28-Konstante!$A$27)+Konstante!$B$27,IF(ABS(AB38)&lt;=180,(ABS(AB38)-Konstante!$A$28)*(Konstante!$B$29-Konstante!$B$28)/(Konstante!$A$29-Konstante!$A$28)+Konstante!$B$28,"Winkel zu groß")))))),"")</f>
        <v/>
      </c>
      <c r="AF38" s="272" t="str">
        <f>IF(C38&gt;0,(IF(ABS(AC38)&lt;=10,(ABS(AC38)-Konstante!$A$24)*(Konstante!$B$25-Konstante!$B$24)/(Konstante!$A$25-Konstante!$A$24)+Konstante!$B$24,IF(ABS(AC38)&lt;=30,(ABS(AC38)-Konstante!$A$25)*(Konstante!$B$26-Konstante!$B$25)/(Konstante!$A$26-Konstante!$A$25)+Konstante!$B$25,IF(ABS(AC38)&lt;=45,(ABS(AC38)-Konstante!$A$26)*(Konstante!$B$27-Konstante!$B$26)/(Konstante!$A$27-Konstante!$A$26)+Konstante!$B$26,IF(ABS(AC38)&lt;=60,(ABS(AC38)-Konstante!$A$27)*(Konstante!$B$28-Konstante!$B$27)/(Konstante!$A$28-Konstante!$A$27)+Konstante!$B$27,IF(ABS(AC38)&lt;=180,(ABS(AC38)-Konstante!$A$28)*(Konstante!$B$29-Konstante!$B$28)/(Konstante!$A$29-Konstante!$A$28)+Konstante!$B$28,"Winkev zu groß")))))),"")</f>
        <v/>
      </c>
      <c r="AG38" s="272" t="str">
        <f>IF(C38&gt;0,(IF(ABS(AD38)&lt;=10,(ABS(AD38)-Konstante!$A$24)*(Konstante!$B$25-Konstante!$B$24)/(Konstante!$A$25-Konstante!$A$24)+Konstante!$B$24,IF(ABS(AD38)&lt;=30,(ABS(AD38)-Konstante!$A$25)*(Konstante!$B$26-Konstante!$B$25)/(Konstante!$A$26-Konstante!$A$25)+Konstante!$B$25,IF(ABS(AD38)&lt;=45,(ABS(AD38)-Konstante!$A$26)*(Konstante!$B$27-Konstante!$B$26)/(Konstante!$A$27-Konstante!$A$26)+Konstante!$B$26,IF(ABS(AD38)&lt;=60,(ABS(AD38)-Konstante!$A$27)*(Konstante!$B$28-Konstante!$B$27)/(Konstante!$A$28-Konstante!$A$27)+Konstante!$B$27,IF(ABS(AD38)&lt;=180,(ABS(AD38)-Konstante!$A$28)*(Konstante!$B$29-Konstante!$B$28)/(Konstante!$A$29-Konstante!$A$28)+Konstante!$B$28,"Winkel zu groß")))))),"")</f>
        <v/>
      </c>
      <c r="AH38" s="18"/>
      <c r="AI38" s="18" t="str">
        <f t="shared" si="18"/>
        <v>O.K.</v>
      </c>
      <c r="AJ38" s="225">
        <f>IF(ABS(F38)&lt;=10,(ABS(F38)-Konstante!$A$24)*(Konstante!$B$25-Konstante!$B$24)/(Konstante!$A$25-Konstante!$A$24)+Konstante!$B$24,IF(ABS(F38)&lt;=30,(ABS(F38)-Konstante!$A$25)*(Konstante!$B$26-Konstante!$B$25)/(Konstante!$A$26-Konstante!$A$25)+Konstante!$B$25,IF(ABS(F38)&lt;=45,(ABS(F38)-Konstante!$A$26)*(Konstante!$B$27-Konstante!$B$26)/(Konstante!$A$27-Konstante!$A$26)+Konstante!$B$26,IF(ABS(F38)&lt;=60,(ABS(F38)-Konstante!$A$27)*(Konstante!$B$28-Konstante!$B$27)/(Konstante!$A$28-Konstante!$A$27)+Konstante!$B$27,IF(ABS(F38)&lt;=90,(ABS(F38)-Konstante!$A$28)*(Konstante!$B$29-Konstante!$B$28)/(Konstante!$A$29-Konstante!$A$28)+Konstante!$B$28,IF(ABS(F38)&lt;=120,(ABS(F38)-Konstante!$A$30)*(Konstante!$B$30-Konstante!$B$29)/(Konstante!$A$30-Konstante!$A$29)+Konstante!$B$29,"Winkel zu groß"))))))</f>
        <v>0</v>
      </c>
      <c r="AK38" s="225" t="str">
        <f t="shared" si="19"/>
        <v>0</v>
      </c>
      <c r="AL38" s="225" t="str">
        <f t="shared" si="20"/>
        <v>0</v>
      </c>
    </row>
    <row r="39" spans="1:38" hidden="1" x14ac:dyDescent="0.25">
      <c r="A39" s="350" t="str">
        <f t="shared" si="0"/>
        <v/>
      </c>
      <c r="B39" s="71">
        <f t="shared" si="4"/>
        <v>11</v>
      </c>
      <c r="C39" s="188"/>
      <c r="D39" s="189"/>
      <c r="E39" s="189"/>
      <c r="F39" s="189"/>
      <c r="G39" s="186"/>
      <c r="H39" s="173">
        <f t="shared" si="5"/>
        <v>0</v>
      </c>
      <c r="I39" s="172" t="str">
        <f t="shared" si="6"/>
        <v/>
      </c>
      <c r="J39" s="170" t="str">
        <f t="shared" si="7"/>
        <v/>
      </c>
      <c r="K39" s="72" t="str">
        <f t="shared" si="21"/>
        <v/>
      </c>
      <c r="L39" s="73" t="str">
        <f t="shared" si="24"/>
        <v/>
      </c>
      <c r="M39" s="377" t="str">
        <f>IF(C39&gt;0,1/(1.14+2*LOG(Y39/Konstante!$D$32))^2,"")</f>
        <v/>
      </c>
      <c r="N39" s="324" t="str">
        <f t="shared" si="22"/>
        <v/>
      </c>
      <c r="O39" s="72" t="str">
        <f t="shared" si="8"/>
        <v/>
      </c>
      <c r="P39" s="402" t="str">
        <f t="shared" si="25"/>
        <v/>
      </c>
      <c r="Q39" s="74" t="str">
        <f t="shared" si="9"/>
        <v>Werte eingeben</v>
      </c>
      <c r="R39" s="38" t="str">
        <f t="shared" si="27"/>
        <v/>
      </c>
      <c r="S39" s="407" t="str">
        <f t="shared" si="26"/>
        <v/>
      </c>
      <c r="T39" s="225" t="str">
        <f t="shared" si="23"/>
        <v/>
      </c>
      <c r="U39" s="397" t="str">
        <f t="shared" si="1"/>
        <v/>
      </c>
      <c r="V39" s="386" t="str">
        <f t="shared" si="11"/>
        <v/>
      </c>
      <c r="W39" s="272" t="str">
        <f t="shared" si="12"/>
        <v/>
      </c>
      <c r="X39" s="395" t="str">
        <f t="shared" si="13"/>
        <v/>
      </c>
      <c r="Y39" s="387" t="str">
        <f t="shared" si="14"/>
        <v/>
      </c>
      <c r="Z39" s="382" t="str">
        <f t="shared" si="2"/>
        <v/>
      </c>
      <c r="AA39" s="382" t="str">
        <f t="shared" si="3"/>
        <v/>
      </c>
      <c r="AB39" s="383" t="str">
        <f t="shared" si="15"/>
        <v/>
      </c>
      <c r="AC39" s="383" t="str">
        <f t="shared" si="16"/>
        <v/>
      </c>
      <c r="AD39" s="383" t="str">
        <f>IF(ISBLANK(C39),"",ABS(AC39-AB39))</f>
        <v/>
      </c>
      <c r="AE39" s="272" t="str">
        <f>IF(C39&gt;0,(IF(ABS(AB39)&lt;=10,(ABS(AB39)-Konstante!$A$24)*(Konstante!$B$25-Konstante!$B$24)/(Konstante!$A$25-Konstante!$A$24)+Konstante!$B$24,IF(ABS(AB39)&lt;=30,(ABS(AB39)-Konstante!$A$25)*(Konstante!$B$26-Konstante!$B$25)/(Konstante!$A$26-Konstante!$A$25)+Konstante!$B$25,IF(ABS(AB39)&lt;=45,(ABS(AB39)-Konstante!$A$26)*(Konstante!$B$27-Konstante!$B$26)/(Konstante!$A$27-Konstante!$A$26)+Konstante!$B$26,IF(ABS(AB39)&lt;=60,(ABS(AB39)-Konstante!$A$27)*(Konstante!$B$28-Konstante!$B$27)/(Konstante!$A$28-Konstante!$A$27)+Konstante!$B$27,IF(ABS(AB39)&lt;=180,(ABS(AB39)-Konstante!$A$28)*(Konstante!$B$29-Konstante!$B$28)/(Konstante!$A$29-Konstante!$A$28)+Konstante!$B$28,"Winkel zu groß")))))),"")</f>
        <v/>
      </c>
      <c r="AF39" s="272" t="str">
        <f>IF(C39&gt;0,(IF(ABS(AC39)&lt;=10,(ABS(AC39)-Konstante!$A$24)*(Konstante!$B$25-Konstante!$B$24)/(Konstante!$A$25-Konstante!$A$24)+Konstante!$B$24,IF(ABS(AC39)&lt;=30,(ABS(AC39)-Konstante!$A$25)*(Konstante!$B$26-Konstante!$B$25)/(Konstante!$A$26-Konstante!$A$25)+Konstante!$B$25,IF(ABS(AC39)&lt;=45,(ABS(AC39)-Konstante!$A$26)*(Konstante!$B$27-Konstante!$B$26)/(Konstante!$A$27-Konstante!$A$26)+Konstante!$B$26,IF(ABS(AC39)&lt;=60,(ABS(AC39)-Konstante!$A$27)*(Konstante!$B$28-Konstante!$B$27)/(Konstante!$A$28-Konstante!$A$27)+Konstante!$B$27,IF(ABS(AC39)&lt;=180,(ABS(AC39)-Konstante!$A$28)*(Konstante!$B$29-Konstante!$B$28)/(Konstante!$A$29-Konstante!$A$28)+Konstante!$B$28,"Winkev zu groß")))))),"")</f>
        <v/>
      </c>
      <c r="AG39" s="272" t="str">
        <f>IF(C39&gt;0,(IF(ABS(AD39)&lt;=10,(ABS(AD39)-Konstante!$A$24)*(Konstante!$B$25-Konstante!$B$24)/(Konstante!$A$25-Konstante!$A$24)+Konstante!$B$24,IF(ABS(AD39)&lt;=30,(ABS(AD39)-Konstante!$A$25)*(Konstante!$B$26-Konstante!$B$25)/(Konstante!$A$26-Konstante!$A$25)+Konstante!$B$25,IF(ABS(AD39)&lt;=45,(ABS(AD39)-Konstante!$A$26)*(Konstante!$B$27-Konstante!$B$26)/(Konstante!$A$27-Konstante!$A$26)+Konstante!$B$26,IF(ABS(AD39)&lt;=60,(ABS(AD39)-Konstante!$A$27)*(Konstante!$B$28-Konstante!$B$27)/(Konstante!$A$28-Konstante!$A$27)+Konstante!$B$27,IF(ABS(AD39)&lt;=180,(ABS(AD39)-Konstante!$A$28)*(Konstante!$B$29-Konstante!$B$28)/(Konstante!$A$29-Konstante!$A$28)+Konstante!$B$28,"Winkel zu groß")))))),"")</f>
        <v/>
      </c>
      <c r="AH39" s="18"/>
      <c r="AI39" s="18" t="str">
        <f t="shared" si="18"/>
        <v>O.K.</v>
      </c>
      <c r="AJ39" s="225">
        <f>IF(ABS(F39)&lt;=10,(ABS(F39)-Konstante!$A$24)*(Konstante!$B$25-Konstante!$B$24)/(Konstante!$A$25-Konstante!$A$24)+Konstante!$B$24,IF(ABS(F39)&lt;=30,(ABS(F39)-Konstante!$A$25)*(Konstante!$B$26-Konstante!$B$25)/(Konstante!$A$26-Konstante!$A$25)+Konstante!$B$25,IF(ABS(F39)&lt;=45,(ABS(F39)-Konstante!$A$26)*(Konstante!$B$27-Konstante!$B$26)/(Konstante!$A$27-Konstante!$A$26)+Konstante!$B$26,IF(ABS(F39)&lt;=60,(ABS(F39)-Konstante!$A$27)*(Konstante!$B$28-Konstante!$B$27)/(Konstante!$A$28-Konstante!$A$27)+Konstante!$B$27,IF(ABS(F39)&lt;=90,(ABS(F39)-Konstante!$A$28)*(Konstante!$B$29-Konstante!$B$28)/(Konstante!$A$29-Konstante!$A$28)+Konstante!$B$28,IF(ABS(F39)&lt;=120,(ABS(F39)-Konstante!$A$30)*(Konstante!$B$30-Konstante!$B$29)/(Konstante!$A$30-Konstante!$A$29)+Konstante!$B$29,"Winkel zu groß"))))))</f>
        <v>0</v>
      </c>
      <c r="AK39" s="225" t="str">
        <f t="shared" si="19"/>
        <v>0</v>
      </c>
      <c r="AL39" s="225" t="str">
        <f t="shared" si="20"/>
        <v>0</v>
      </c>
    </row>
    <row r="40" spans="1:38" hidden="1" x14ac:dyDescent="0.25">
      <c r="A40" s="350" t="str">
        <f t="shared" si="0"/>
        <v/>
      </c>
      <c r="B40" s="71">
        <f t="shared" si="4"/>
        <v>12</v>
      </c>
      <c r="C40" s="188"/>
      <c r="D40" s="189"/>
      <c r="E40" s="189"/>
      <c r="F40" s="189"/>
      <c r="G40" s="186"/>
      <c r="H40" s="173">
        <f t="shared" si="5"/>
        <v>0</v>
      </c>
      <c r="I40" s="172" t="str">
        <f t="shared" si="6"/>
        <v/>
      </c>
      <c r="J40" s="170" t="str">
        <f t="shared" si="7"/>
        <v/>
      </c>
      <c r="K40" s="72" t="str">
        <f t="shared" si="21"/>
        <v/>
      </c>
      <c r="L40" s="73" t="str">
        <f t="shared" si="24"/>
        <v/>
      </c>
      <c r="M40" s="377" t="str">
        <f>IF(C40&gt;0,1/(1.14+2*LOG(Y40/Konstante!$D$32))^2,"")</f>
        <v/>
      </c>
      <c r="N40" s="324" t="str">
        <f t="shared" si="22"/>
        <v/>
      </c>
      <c r="O40" s="72" t="str">
        <f t="shared" si="8"/>
        <v/>
      </c>
      <c r="P40" s="402" t="str">
        <f t="shared" si="25"/>
        <v/>
      </c>
      <c r="Q40" s="74" t="str">
        <f t="shared" si="9"/>
        <v>Werte eingeben</v>
      </c>
      <c r="R40" s="38" t="str">
        <f t="shared" si="27"/>
        <v/>
      </c>
      <c r="S40" s="407" t="str">
        <f t="shared" si="26"/>
        <v/>
      </c>
      <c r="T40" s="225" t="str">
        <f t="shared" si="23"/>
        <v/>
      </c>
      <c r="U40" s="397" t="str">
        <f t="shared" si="1"/>
        <v/>
      </c>
      <c r="V40" s="386" t="str">
        <f t="shared" si="11"/>
        <v/>
      </c>
      <c r="W40" s="272" t="str">
        <f>IF(C40&gt;0,0.00273*$F$11*$V$16*V40,"")</f>
        <v/>
      </c>
      <c r="X40" s="395" t="str">
        <f t="shared" si="13"/>
        <v/>
      </c>
      <c r="Y40" s="387" t="str">
        <f t="shared" si="14"/>
        <v/>
      </c>
      <c r="Z40" s="382" t="str">
        <f t="shared" si="2"/>
        <v/>
      </c>
      <c r="AA40" s="382" t="str">
        <f t="shared" si="3"/>
        <v/>
      </c>
      <c r="AB40" s="383" t="str">
        <f t="shared" si="15"/>
        <v/>
      </c>
      <c r="AC40" s="383" t="str">
        <f t="shared" si="16"/>
        <v/>
      </c>
      <c r="AD40" s="383" t="str">
        <f t="shared" si="17"/>
        <v/>
      </c>
      <c r="AE40" s="272" t="str">
        <f>IF(C40&gt;0,(IF(ABS(AB40)&lt;=10,(ABS(AB40)-Konstante!$A$24)*(Konstante!$B$25-Konstante!$B$24)/(Konstante!$A$25-Konstante!$A$24)+Konstante!$B$24,IF(ABS(AB40)&lt;=30,(ABS(AB40)-Konstante!$A$25)*(Konstante!$B$26-Konstante!$B$25)/(Konstante!$A$26-Konstante!$A$25)+Konstante!$B$25,IF(ABS(AB40)&lt;=45,(ABS(AB40)-Konstante!$A$26)*(Konstante!$B$27-Konstante!$B$26)/(Konstante!$A$27-Konstante!$A$26)+Konstante!$B$26,IF(ABS(AB40)&lt;=60,(ABS(AB40)-Konstante!$A$27)*(Konstante!$B$28-Konstante!$B$27)/(Konstante!$A$28-Konstante!$A$27)+Konstante!$B$27,IF(ABS(AB40)&lt;=180,(ABS(AB40)-Konstante!$A$28)*(Konstante!$B$29-Konstante!$B$28)/(Konstante!$A$29-Konstante!$A$28)+Konstante!$B$28,"Winkel zu groß")))))),"")</f>
        <v/>
      </c>
      <c r="AF40" s="272" t="str">
        <f>IF(C40&gt;0,(IF(ABS(AC40)&lt;=10,(ABS(AC40)-Konstante!$A$24)*(Konstante!$B$25-Konstante!$B$24)/(Konstante!$A$25-Konstante!$A$24)+Konstante!$B$24,IF(ABS(AC40)&lt;=30,(ABS(AC40)-Konstante!$A$25)*(Konstante!$B$26-Konstante!$B$25)/(Konstante!$A$26-Konstante!$A$25)+Konstante!$B$25,IF(ABS(AC40)&lt;=45,(ABS(AC40)-Konstante!$A$26)*(Konstante!$B$27-Konstante!$B$26)/(Konstante!$A$27-Konstante!$A$26)+Konstante!$B$26,IF(ABS(AC40)&lt;=60,(ABS(AC40)-Konstante!$A$27)*(Konstante!$B$28-Konstante!$B$27)/(Konstante!$A$28-Konstante!$A$27)+Konstante!$B$27,IF(ABS(AC40)&lt;=180,(ABS(AC40)-Konstante!$A$28)*(Konstante!$B$29-Konstante!$B$28)/(Konstante!$A$29-Konstante!$A$28)+Konstante!$B$28,"Winkev zu groß")))))),"")</f>
        <v/>
      </c>
      <c r="AG40" s="272" t="str">
        <f>IF(C40&gt;0,(IF(ABS(AD40)&lt;=10,(ABS(AD40)-Konstante!$A$24)*(Konstante!$B$25-Konstante!$B$24)/(Konstante!$A$25-Konstante!$A$24)+Konstante!$B$24,IF(ABS(AD40)&lt;=30,(ABS(AD40)-Konstante!$A$25)*(Konstante!$B$26-Konstante!$B$25)/(Konstante!$A$26-Konstante!$A$25)+Konstante!$B$25,IF(ABS(AD40)&lt;=45,(ABS(AD40)-Konstante!$A$26)*(Konstante!$B$27-Konstante!$B$26)/(Konstante!$A$27-Konstante!$A$26)+Konstante!$B$26,IF(ABS(AD40)&lt;=60,(ABS(AD40)-Konstante!$A$27)*(Konstante!$B$28-Konstante!$B$27)/(Konstante!$A$28-Konstante!$A$27)+Konstante!$B$27,IF(ABS(AD40)&lt;=180,(ABS(AD40)-Konstante!$A$28)*(Konstante!$B$29-Konstante!$B$28)/(Konstante!$A$29-Konstante!$A$28)+Konstante!$B$28,"Winkel zu groß")))))),"")</f>
        <v/>
      </c>
      <c r="AH40" s="18"/>
      <c r="AI40" s="18" t="str">
        <f t="shared" si="18"/>
        <v>O.K.</v>
      </c>
      <c r="AJ40" s="225">
        <f>IF(ABS(F40)&lt;=10,(ABS(F40)-Konstante!$A$24)*(Konstante!$B$25-Konstante!$B$24)/(Konstante!$A$25-Konstante!$A$24)+Konstante!$B$24,IF(ABS(F40)&lt;=30,(ABS(F40)-Konstante!$A$25)*(Konstante!$B$26-Konstante!$B$25)/(Konstante!$A$26-Konstante!$A$25)+Konstante!$B$25,IF(ABS(F40)&lt;=45,(ABS(F40)-Konstante!$A$26)*(Konstante!$B$27-Konstante!$B$26)/(Konstante!$A$27-Konstante!$A$26)+Konstante!$B$26,IF(ABS(F40)&lt;=60,(ABS(F40)-Konstante!$A$27)*(Konstante!$B$28-Konstante!$B$27)/(Konstante!$A$28-Konstante!$A$27)+Konstante!$B$27,IF(ABS(F40)&lt;=90,(ABS(F40)-Konstante!$A$28)*(Konstante!$B$29-Konstante!$B$28)/(Konstante!$A$29-Konstante!$A$28)+Konstante!$B$28,IF(ABS(F40)&lt;=120,(ABS(F40)-Konstante!$A$30)*(Konstante!$B$30-Konstante!$B$29)/(Konstante!$A$30-Konstante!$A$29)+Konstante!$B$29,"Winkel zu groß"))))))</f>
        <v>0</v>
      </c>
      <c r="AK40" s="225" t="str">
        <f t="shared" si="19"/>
        <v>0</v>
      </c>
      <c r="AL40" s="225" t="str">
        <f t="shared" si="20"/>
        <v>0</v>
      </c>
    </row>
    <row r="41" spans="1:38" hidden="1" x14ac:dyDescent="0.25">
      <c r="A41" s="350" t="str">
        <f t="shared" si="0"/>
        <v/>
      </c>
      <c r="B41" s="71">
        <f t="shared" si="4"/>
        <v>13</v>
      </c>
      <c r="C41" s="188"/>
      <c r="D41" s="189"/>
      <c r="E41" s="189"/>
      <c r="F41" s="189"/>
      <c r="G41" s="186"/>
      <c r="H41" s="173">
        <f t="shared" si="5"/>
        <v>0</v>
      </c>
      <c r="I41" s="172" t="str">
        <f t="shared" si="6"/>
        <v/>
      </c>
      <c r="J41" s="170" t="str">
        <f t="shared" si="7"/>
        <v/>
      </c>
      <c r="K41" s="72" t="str">
        <f>IF(C41&gt;0,9.81*H41/100*($X$22-X41),"")</f>
        <v/>
      </c>
      <c r="L41" s="73" t="str">
        <f t="shared" si="24"/>
        <v/>
      </c>
      <c r="M41" s="377" t="str">
        <f>IF(C41&gt;0,1/(1.14+2*LOG(Y41/Konstante!$D$32))^2,"")</f>
        <v/>
      </c>
      <c r="N41" s="324" t="str">
        <f t="shared" si="22"/>
        <v/>
      </c>
      <c r="O41" s="72" t="str">
        <f t="shared" si="8"/>
        <v/>
      </c>
      <c r="P41" s="402" t="str">
        <f t="shared" si="25"/>
        <v/>
      </c>
      <c r="Q41" s="74" t="str">
        <f t="shared" si="9"/>
        <v>Werte eingeben</v>
      </c>
      <c r="R41" s="38" t="str">
        <f t="shared" si="27"/>
        <v/>
      </c>
      <c r="S41" s="407" t="str">
        <f t="shared" si="26"/>
        <v/>
      </c>
      <c r="T41" s="225" t="str">
        <f t="shared" si="23"/>
        <v/>
      </c>
      <c r="U41" s="397" t="str">
        <f t="shared" si="1"/>
        <v/>
      </c>
      <c r="V41" s="386" t="str">
        <f t="shared" si="11"/>
        <v/>
      </c>
      <c r="W41" s="272" t="str">
        <f t="shared" si="12"/>
        <v/>
      </c>
      <c r="X41" s="395" t="str">
        <f t="shared" si="13"/>
        <v/>
      </c>
      <c r="Y41" s="387" t="str">
        <f t="shared" si="14"/>
        <v/>
      </c>
      <c r="Z41" s="382" t="str">
        <f t="shared" si="2"/>
        <v/>
      </c>
      <c r="AA41" s="382" t="str">
        <f t="shared" si="3"/>
        <v/>
      </c>
      <c r="AB41" s="383" t="str">
        <f t="shared" si="15"/>
        <v/>
      </c>
      <c r="AC41" s="383" t="str">
        <f t="shared" si="16"/>
        <v/>
      </c>
      <c r="AD41" s="383" t="str">
        <f t="shared" si="17"/>
        <v/>
      </c>
      <c r="AE41" s="272" t="str">
        <f>IF(C41&gt;0,(IF(ABS(AB41)&lt;=10,(ABS(AB41)-Konstante!$A$24)*(Konstante!$B$25-Konstante!$B$24)/(Konstante!$A$25-Konstante!$A$24)+Konstante!$B$24,IF(ABS(AB41)&lt;=30,(ABS(AB41)-Konstante!$A$25)*(Konstante!$B$26-Konstante!$B$25)/(Konstante!$A$26-Konstante!$A$25)+Konstante!$B$25,IF(ABS(AB41)&lt;=45,(ABS(AB41)-Konstante!$A$26)*(Konstante!$B$27-Konstante!$B$26)/(Konstante!$A$27-Konstante!$A$26)+Konstante!$B$26,IF(ABS(AB41)&lt;=60,(ABS(AB41)-Konstante!$A$27)*(Konstante!$B$28-Konstante!$B$27)/(Konstante!$A$28-Konstante!$A$27)+Konstante!$B$27,IF(ABS(AB41)&lt;=180,(ABS(AB41)-Konstante!$A$28)*(Konstante!$B$29-Konstante!$B$28)/(Konstante!$A$29-Konstante!$A$28)+Konstante!$B$28,"Winkel zu groß")))))),"")</f>
        <v/>
      </c>
      <c r="AF41" s="272" t="str">
        <f>IF(C41&gt;0,(IF(ABS(AC41)&lt;=10,(ABS(AC41)-Konstante!$A$24)*(Konstante!$B$25-Konstante!$B$24)/(Konstante!$A$25-Konstante!$A$24)+Konstante!$B$24,IF(ABS(AC41)&lt;=30,(ABS(AC41)-Konstante!$A$25)*(Konstante!$B$26-Konstante!$B$25)/(Konstante!$A$26-Konstante!$A$25)+Konstante!$B$25,IF(ABS(AC41)&lt;=45,(ABS(AC41)-Konstante!$A$26)*(Konstante!$B$27-Konstante!$B$26)/(Konstante!$A$27-Konstante!$A$26)+Konstante!$B$26,IF(ABS(AC41)&lt;=60,(ABS(AC41)-Konstante!$A$27)*(Konstante!$B$28-Konstante!$B$27)/(Konstante!$A$28-Konstante!$A$27)+Konstante!$B$27,IF(ABS(AC41)&lt;=180,(ABS(AC41)-Konstante!$A$28)*(Konstante!$B$29-Konstante!$B$28)/(Konstante!$A$29-Konstante!$A$28)+Konstante!$B$28,"Winkev zu groß")))))),"")</f>
        <v/>
      </c>
      <c r="AG41" s="272" t="str">
        <f>IF(C41&gt;0,(IF(ABS(AD41)&lt;=10,(ABS(AD41)-Konstante!$A$24)*(Konstante!$B$25-Konstante!$B$24)/(Konstante!$A$25-Konstante!$A$24)+Konstante!$B$24,IF(ABS(AD41)&lt;=30,(ABS(AD41)-Konstante!$A$25)*(Konstante!$B$26-Konstante!$B$25)/(Konstante!$A$26-Konstante!$A$25)+Konstante!$B$25,IF(ABS(AD41)&lt;=45,(ABS(AD41)-Konstante!$A$26)*(Konstante!$B$27-Konstante!$B$26)/(Konstante!$A$27-Konstante!$A$26)+Konstante!$B$26,IF(ABS(AD41)&lt;=60,(ABS(AD41)-Konstante!$A$27)*(Konstante!$B$28-Konstante!$B$27)/(Konstante!$A$28-Konstante!$A$27)+Konstante!$B$27,IF(ABS(AD41)&lt;=180,(ABS(AD41)-Konstante!$A$28)*(Konstante!$B$29-Konstante!$B$28)/(Konstante!$A$29-Konstante!$A$28)+Konstante!$B$28,"Winkel zu groß")))))),"")</f>
        <v/>
      </c>
      <c r="AH41" s="18"/>
      <c r="AI41" s="18" t="str">
        <f t="shared" si="18"/>
        <v>O.K.</v>
      </c>
      <c r="AJ41" s="225">
        <f>IF(ABS(F41)&lt;=10,(ABS(F41)-Konstante!$A$24)*(Konstante!$B$25-Konstante!$B$24)/(Konstante!$A$25-Konstante!$A$24)+Konstante!$B$24,IF(ABS(F41)&lt;=30,(ABS(F41)-Konstante!$A$25)*(Konstante!$B$26-Konstante!$B$25)/(Konstante!$A$26-Konstante!$A$25)+Konstante!$B$25,IF(ABS(F41)&lt;=45,(ABS(F41)-Konstante!$A$26)*(Konstante!$B$27-Konstante!$B$26)/(Konstante!$A$27-Konstante!$A$26)+Konstante!$B$26,IF(ABS(F41)&lt;=60,(ABS(F41)-Konstante!$A$27)*(Konstante!$B$28-Konstante!$B$27)/(Konstante!$A$28-Konstante!$A$27)+Konstante!$B$27,IF(ABS(F41)&lt;=90,(ABS(F41)-Konstante!$A$28)*(Konstante!$B$29-Konstante!$B$28)/(Konstante!$A$29-Konstante!$A$28)+Konstante!$B$28,IF(ABS(F41)&lt;=120,(ABS(F41)-Konstante!$A$30)*(Konstante!$B$30-Konstante!$B$29)/(Konstante!$A$30-Konstante!$A$29)+Konstante!$B$29,"Winkel zu groß"))))))</f>
        <v>0</v>
      </c>
      <c r="AK41" s="225" t="str">
        <f>IF(U40&lt;U41,(1-(U40/U41))^2,"0")</f>
        <v>0</v>
      </c>
      <c r="AL41" s="225" t="str">
        <f t="shared" si="20"/>
        <v>0</v>
      </c>
    </row>
    <row r="42" spans="1:38" hidden="1" x14ac:dyDescent="0.25">
      <c r="A42" s="350" t="str">
        <f t="shared" si="0"/>
        <v/>
      </c>
      <c r="B42" s="71">
        <f t="shared" si="4"/>
        <v>14</v>
      </c>
      <c r="C42" s="188"/>
      <c r="D42" s="189"/>
      <c r="E42" s="189"/>
      <c r="F42" s="189"/>
      <c r="G42" s="186"/>
      <c r="H42" s="173">
        <f t="shared" si="5"/>
        <v>0</v>
      </c>
      <c r="I42" s="172" t="str">
        <f t="shared" si="6"/>
        <v/>
      </c>
      <c r="J42" s="170" t="str">
        <f t="shared" si="7"/>
        <v/>
      </c>
      <c r="K42" s="72" t="str">
        <f t="shared" si="21"/>
        <v/>
      </c>
      <c r="L42" s="73" t="str">
        <f t="shared" si="24"/>
        <v/>
      </c>
      <c r="M42" s="377" t="str">
        <f>IF(C42&gt;0,1/(1.14+2*LOG(Y42/Konstante!$D$32))^2,"")</f>
        <v/>
      </c>
      <c r="N42" s="324" t="str">
        <f>IF(C42&gt;0,(M42*L42*(E42/100))/Y42,"")</f>
        <v/>
      </c>
      <c r="O42" s="72" t="str">
        <f t="shared" si="8"/>
        <v/>
      </c>
      <c r="P42" s="402" t="str">
        <f t="shared" si="25"/>
        <v/>
      </c>
      <c r="Q42" s="74" t="str">
        <f t="shared" si="9"/>
        <v>Werte eingeben</v>
      </c>
      <c r="R42" s="38" t="str">
        <f t="shared" si="27"/>
        <v/>
      </c>
      <c r="S42" s="407" t="str">
        <f t="shared" si="26"/>
        <v/>
      </c>
      <c r="T42" s="225" t="str">
        <f t="shared" si="23"/>
        <v/>
      </c>
      <c r="U42" s="397" t="str">
        <f t="shared" si="1"/>
        <v/>
      </c>
      <c r="V42" s="386" t="str">
        <f t="shared" si="11"/>
        <v/>
      </c>
      <c r="W42" s="272" t="str">
        <f t="shared" si="12"/>
        <v/>
      </c>
      <c r="X42" s="395" t="str">
        <f t="shared" si="13"/>
        <v/>
      </c>
      <c r="Y42" s="387" t="str">
        <f t="shared" si="14"/>
        <v/>
      </c>
      <c r="Z42" s="382" t="str">
        <f t="shared" si="2"/>
        <v/>
      </c>
      <c r="AA42" s="382" t="str">
        <f t="shared" si="3"/>
        <v/>
      </c>
      <c r="AB42" s="383" t="str">
        <f t="shared" si="15"/>
        <v/>
      </c>
      <c r="AC42" s="383" t="str">
        <f t="shared" si="16"/>
        <v/>
      </c>
      <c r="AD42" s="383" t="str">
        <f t="shared" si="17"/>
        <v/>
      </c>
      <c r="AE42" s="272" t="str">
        <f>IF(C42&gt;0,(IF(ABS(AB42)&lt;=10,(ABS(AB42)-Konstante!$A$24)*(Konstante!$B$25-Konstante!$B$24)/(Konstante!$A$25-Konstante!$A$24)+Konstante!$B$24,IF(ABS(AB42)&lt;=30,(ABS(AB42)-Konstante!$A$25)*(Konstante!$B$26-Konstante!$B$25)/(Konstante!$A$26-Konstante!$A$25)+Konstante!$B$25,IF(ABS(AB42)&lt;=45,(ABS(AB42)-Konstante!$A$26)*(Konstante!$B$27-Konstante!$B$26)/(Konstante!$A$27-Konstante!$A$26)+Konstante!$B$26,IF(ABS(AB42)&lt;=60,(ABS(AB42)-Konstante!$A$27)*(Konstante!$B$28-Konstante!$B$27)/(Konstante!$A$28-Konstante!$A$27)+Konstante!$B$27,IF(ABS(AB42)&lt;=180,(ABS(AB42)-Konstante!$A$28)*(Konstante!$B$29-Konstante!$B$28)/(Konstante!$A$29-Konstante!$A$28)+Konstante!$B$28,"Winkel zu groß")))))),"")</f>
        <v/>
      </c>
      <c r="AF42" s="272" t="str">
        <f>IF(C42&gt;0,(IF(ABS(AC42)&lt;=10,(ABS(AC42)-Konstante!$A$24)*(Konstante!$B$25-Konstante!$B$24)/(Konstante!$A$25-Konstante!$A$24)+Konstante!$B$24,IF(ABS(AC42)&lt;=30,(ABS(AC42)-Konstante!$A$25)*(Konstante!$B$26-Konstante!$B$25)/(Konstante!$A$26-Konstante!$A$25)+Konstante!$B$25,IF(ABS(AC42)&lt;=45,(ABS(AC42)-Konstante!$A$26)*(Konstante!$B$27-Konstante!$B$26)/(Konstante!$A$27-Konstante!$A$26)+Konstante!$B$26,IF(ABS(AC42)&lt;=60,(ABS(AC42)-Konstante!$A$27)*(Konstante!$B$28-Konstante!$B$27)/(Konstante!$A$28-Konstante!$A$27)+Konstante!$B$27,IF(ABS(AC42)&lt;=180,(ABS(AC42)-Konstante!$A$28)*(Konstante!$B$29-Konstante!$B$28)/(Konstante!$A$29-Konstante!$A$28)+Konstante!$B$28,"Winkev zu groß")))))),"")</f>
        <v/>
      </c>
      <c r="AG42" s="272" t="str">
        <f>IF(C42&gt;0,(IF(ABS(AD42)&lt;=10,(ABS(AD42)-Konstante!$A$24)*(Konstante!$B$25-Konstante!$B$24)/(Konstante!$A$25-Konstante!$A$24)+Konstante!$B$24,IF(ABS(AD42)&lt;=30,(ABS(AD42)-Konstante!$A$25)*(Konstante!$B$26-Konstante!$B$25)/(Konstante!$A$26-Konstante!$A$25)+Konstante!$B$25,IF(ABS(AD42)&lt;=45,(ABS(AD42)-Konstante!$A$26)*(Konstante!$B$27-Konstante!$B$26)/(Konstante!$A$27-Konstante!$A$26)+Konstante!$B$26,IF(ABS(AD42)&lt;=60,(ABS(AD42)-Konstante!$A$27)*(Konstante!$B$28-Konstante!$B$27)/(Konstante!$A$28-Konstante!$A$27)+Konstante!$B$27,IF(ABS(AD42)&lt;=180,(ABS(AD42)-Konstante!$A$28)*(Konstante!$B$29-Konstante!$B$28)/(Konstante!$A$29-Konstante!$A$28)+Konstante!$B$28,"Winkel zu groß")))))),"")</f>
        <v/>
      </c>
      <c r="AH42" s="18"/>
      <c r="AI42" s="18" t="str">
        <f t="shared" si="18"/>
        <v>O.K.</v>
      </c>
      <c r="AJ42" s="225">
        <f>IF(ABS(F42)&lt;=10,(ABS(F42)-Konstante!$A$24)*(Konstante!$B$25-Konstante!$B$24)/(Konstante!$A$25-Konstante!$A$24)+Konstante!$B$24,IF(ABS(F42)&lt;=30,(ABS(F42)-Konstante!$A$25)*(Konstante!$B$26-Konstante!$B$25)/(Konstante!$A$26-Konstante!$A$25)+Konstante!$B$25,IF(ABS(F42)&lt;=45,(ABS(F42)-Konstante!$A$26)*(Konstante!$B$27-Konstante!$B$26)/(Konstante!$A$27-Konstante!$A$26)+Konstante!$B$26,IF(ABS(F42)&lt;=60,(ABS(F42)-Konstante!$A$27)*(Konstante!$B$28-Konstante!$B$27)/(Konstante!$A$28-Konstante!$A$27)+Konstante!$B$27,IF(ABS(F42)&lt;=90,(ABS(F42)-Konstante!$A$28)*(Konstante!$B$29-Konstante!$B$28)/(Konstante!$A$29-Konstante!$A$28)+Konstante!$B$28,IF(ABS(F42)&lt;=120,(ABS(F42)-Konstante!$A$30)*(Konstante!$B$30-Konstante!$B$29)/(Konstante!$A$30-Konstante!$A$29)+Konstante!$B$29,"Winkel zu groß"))))))</f>
        <v>0</v>
      </c>
      <c r="AK42" s="225" t="str">
        <f>IF(U41&lt;U42,(1-(U41/U42))^2,"0")</f>
        <v>0</v>
      </c>
      <c r="AL42" s="225" t="str">
        <f t="shared" si="20"/>
        <v>0</v>
      </c>
    </row>
    <row r="43" spans="1:38" hidden="1" x14ac:dyDescent="0.25">
      <c r="A43" s="350" t="str">
        <f t="shared" si="0"/>
        <v/>
      </c>
      <c r="B43" s="71">
        <f t="shared" si="4"/>
        <v>15</v>
      </c>
      <c r="C43" s="188"/>
      <c r="D43" s="189"/>
      <c r="E43" s="189"/>
      <c r="F43" s="189"/>
      <c r="G43" s="186"/>
      <c r="H43" s="173">
        <f t="shared" si="5"/>
        <v>0</v>
      </c>
      <c r="I43" s="172" t="str">
        <f>IF(C43&gt;0,550*EXP(-0.83*(T43/100)/$F$14),"")</f>
        <v/>
      </c>
      <c r="J43" s="170" t="str">
        <f t="shared" si="7"/>
        <v/>
      </c>
      <c r="K43" s="72" t="str">
        <f t="shared" si="21"/>
        <v/>
      </c>
      <c r="L43" s="73" t="str">
        <f>IF(C43&gt;0,X43*J43^2/2,"")</f>
        <v/>
      </c>
      <c r="M43" s="377" t="str">
        <f>IF(C43&gt;0,1/(1.14+2*LOG(Y43/Konstante!$D$32))^2,"")</f>
        <v/>
      </c>
      <c r="N43" s="324" t="str">
        <f t="shared" si="22"/>
        <v/>
      </c>
      <c r="O43" s="72" t="str">
        <f t="shared" si="8"/>
        <v/>
      </c>
      <c r="P43" s="402" t="str">
        <f t="shared" si="25"/>
        <v/>
      </c>
      <c r="Q43" s="74" t="str">
        <f t="shared" si="9"/>
        <v>Werte eingeben</v>
      </c>
      <c r="R43" s="38" t="str">
        <f t="shared" si="27"/>
        <v/>
      </c>
      <c r="S43" s="407" t="str">
        <f t="shared" si="26"/>
        <v/>
      </c>
      <c r="T43" s="225" t="str">
        <f t="shared" si="23"/>
        <v/>
      </c>
      <c r="U43" s="397" t="str">
        <f t="shared" si="1"/>
        <v/>
      </c>
      <c r="V43" s="386" t="str">
        <f t="shared" si="11"/>
        <v/>
      </c>
      <c r="W43" s="272" t="str">
        <f>IF(C43&gt;0,0.00273*$F$11*$V$16*V43,"")</f>
        <v/>
      </c>
      <c r="X43" s="395" t="str">
        <f t="shared" si="13"/>
        <v/>
      </c>
      <c r="Y43" s="387" t="str">
        <f t="shared" si="14"/>
        <v/>
      </c>
      <c r="Z43" s="382" t="str">
        <f t="shared" si="2"/>
        <v/>
      </c>
      <c r="AA43" s="382" t="str">
        <f t="shared" si="3"/>
        <v/>
      </c>
      <c r="AB43" s="383" t="str">
        <f t="shared" si="15"/>
        <v/>
      </c>
      <c r="AC43" s="383" t="str">
        <f t="shared" si="16"/>
        <v/>
      </c>
      <c r="AD43" s="383" t="str">
        <f t="shared" si="17"/>
        <v/>
      </c>
      <c r="AE43" s="272" t="str">
        <f>IF(C43&gt;0,(IF(ABS(AB43)&lt;=10,(ABS(AB43)-Konstante!$A$24)*(Konstante!$B$25-Konstante!$B$24)/(Konstante!$A$25-Konstante!$A$24)+Konstante!$B$24,IF(ABS(AB43)&lt;=30,(ABS(AB43)-Konstante!$A$25)*(Konstante!$B$26-Konstante!$B$25)/(Konstante!$A$26-Konstante!$A$25)+Konstante!$B$25,IF(ABS(AB43)&lt;=45,(ABS(AB43)-Konstante!$A$26)*(Konstante!$B$27-Konstante!$B$26)/(Konstante!$A$27-Konstante!$A$26)+Konstante!$B$26,IF(ABS(AB43)&lt;=60,(ABS(AB43)-Konstante!$A$27)*(Konstante!$B$28-Konstante!$B$27)/(Konstante!$A$28-Konstante!$A$27)+Konstante!$B$27,IF(ABS(AB43)&lt;=180,(ABS(AB43)-Konstante!$A$28)*(Konstante!$B$29-Konstante!$B$28)/(Konstante!$A$29-Konstante!$A$28)+Konstante!$B$28,"Winkel zu groß")))))),"")</f>
        <v/>
      </c>
      <c r="AF43" s="272" t="str">
        <f>IF(C43&gt;0,(IF(ABS(AC43)&lt;=10,(ABS(AC43)-Konstante!$A$24)*(Konstante!$B$25-Konstante!$B$24)/(Konstante!$A$25-Konstante!$A$24)+Konstante!$B$24,IF(ABS(AC43)&lt;=30,(ABS(AC43)-Konstante!$A$25)*(Konstante!$B$26-Konstante!$B$25)/(Konstante!$A$26-Konstante!$A$25)+Konstante!$B$25,IF(ABS(AC43)&lt;=45,(ABS(AC43)-Konstante!$A$26)*(Konstante!$B$27-Konstante!$B$26)/(Konstante!$A$27-Konstante!$A$26)+Konstante!$B$26,IF(ABS(AC43)&lt;=60,(ABS(AC43)-Konstante!$A$27)*(Konstante!$B$28-Konstante!$B$27)/(Konstante!$A$28-Konstante!$A$27)+Konstante!$B$27,IF(ABS(AC43)&lt;=180,(ABS(AC43)-Konstante!$A$28)*(Konstante!$B$29-Konstante!$B$28)/(Konstante!$A$29-Konstante!$A$28)+Konstante!$B$28,"Winkev zu groß")))))),"")</f>
        <v/>
      </c>
      <c r="AG43" s="272" t="str">
        <f>IF(C43&gt;0,(IF(ABS(AD43)&lt;=10,(ABS(AD43)-Konstante!$A$24)*(Konstante!$B$25-Konstante!$B$24)/(Konstante!$A$25-Konstante!$A$24)+Konstante!$B$24,IF(ABS(AD43)&lt;=30,(ABS(AD43)-Konstante!$A$25)*(Konstante!$B$26-Konstante!$B$25)/(Konstante!$A$26-Konstante!$A$25)+Konstante!$B$25,IF(ABS(AD43)&lt;=45,(ABS(AD43)-Konstante!$A$26)*(Konstante!$B$27-Konstante!$B$26)/(Konstante!$A$27-Konstante!$A$26)+Konstante!$B$26,IF(ABS(AD43)&lt;=60,(ABS(AD43)-Konstante!$A$27)*(Konstante!$B$28-Konstante!$B$27)/(Konstante!$A$28-Konstante!$A$27)+Konstante!$B$27,IF(ABS(AD43)&lt;=180,(ABS(AD43)-Konstante!$A$28)*(Konstante!$B$29-Konstante!$B$28)/(Konstante!$A$29-Konstante!$A$28)+Konstante!$B$28,"Winkel zu groß")))))),"")</f>
        <v/>
      </c>
      <c r="AH43" s="18"/>
      <c r="AI43" s="18" t="str">
        <f t="shared" si="18"/>
        <v>O.K.</v>
      </c>
      <c r="AJ43" s="225">
        <f>IF(ABS(F43)&lt;=10,(ABS(F43)-Konstante!$A$24)*(Konstante!$B$25-Konstante!$B$24)/(Konstante!$A$25-Konstante!$A$24)+Konstante!$B$24,IF(ABS(F43)&lt;=30,(ABS(F43)-Konstante!$A$25)*(Konstante!$B$26-Konstante!$B$25)/(Konstante!$A$26-Konstante!$A$25)+Konstante!$B$25,IF(ABS(F43)&lt;=45,(ABS(F43)-Konstante!$A$26)*(Konstante!$B$27-Konstante!$B$26)/(Konstante!$A$27-Konstante!$A$26)+Konstante!$B$26,IF(ABS(F43)&lt;=60,(ABS(F43)-Konstante!$A$27)*(Konstante!$B$28-Konstante!$B$27)/(Konstante!$A$28-Konstante!$A$27)+Konstante!$B$27,IF(ABS(F43)&lt;=90,(ABS(F43)-Konstante!$A$28)*(Konstante!$B$29-Konstante!$B$28)/(Konstante!$A$29-Konstante!$A$28)+Konstante!$B$28,IF(ABS(F43)&lt;=120,(ABS(F43)-Konstante!$A$30)*(Konstante!$B$30-Konstante!$B$29)/(Konstante!$A$30-Konstante!$A$29)+Konstante!$B$29,"Winkel zu groß"))))))</f>
        <v>0</v>
      </c>
      <c r="AK43" s="225" t="str">
        <f>IF(U42&lt;U43,(1-(U42/U43))^2,"0")</f>
        <v>0</v>
      </c>
      <c r="AL43" s="225" t="str">
        <f t="shared" si="20"/>
        <v>0</v>
      </c>
    </row>
    <row r="44" spans="1:38" hidden="1" x14ac:dyDescent="0.25">
      <c r="A44" s="350" t="str">
        <f t="shared" si="0"/>
        <v/>
      </c>
      <c r="B44" s="71">
        <f t="shared" si="4"/>
        <v>16</v>
      </c>
      <c r="C44" s="188"/>
      <c r="D44" s="189"/>
      <c r="E44" s="189"/>
      <c r="F44" s="189"/>
      <c r="G44" s="186"/>
      <c r="H44" s="173">
        <f t="shared" si="5"/>
        <v>0</v>
      </c>
      <c r="I44" s="172" t="str">
        <f t="shared" si="6"/>
        <v/>
      </c>
      <c r="J44" s="170" t="str">
        <f t="shared" si="7"/>
        <v/>
      </c>
      <c r="K44" s="72" t="str">
        <f t="shared" si="21"/>
        <v/>
      </c>
      <c r="L44" s="73" t="str">
        <f t="shared" si="24"/>
        <v/>
      </c>
      <c r="M44" s="377" t="str">
        <f>IF(C44&gt;0,1/(1.14+2*LOG(Y44/Konstante!$D$32))^2,"")</f>
        <v/>
      </c>
      <c r="N44" s="324" t="str">
        <f t="shared" si="22"/>
        <v/>
      </c>
      <c r="O44" s="72" t="str">
        <f t="shared" si="8"/>
        <v/>
      </c>
      <c r="P44" s="402" t="str">
        <f t="shared" si="25"/>
        <v/>
      </c>
      <c r="Q44" s="74" t="str">
        <f t="shared" si="9"/>
        <v>Werte eingeben</v>
      </c>
      <c r="R44" s="38" t="str">
        <f t="shared" si="27"/>
        <v/>
      </c>
      <c r="S44" s="407" t="str">
        <f t="shared" si="26"/>
        <v/>
      </c>
      <c r="T44" s="225" t="str">
        <f t="shared" si="23"/>
        <v/>
      </c>
      <c r="U44" s="397" t="str">
        <f t="shared" si="1"/>
        <v/>
      </c>
      <c r="V44" s="386" t="str">
        <f t="shared" si="11"/>
        <v/>
      </c>
      <c r="W44" s="272" t="str">
        <f t="shared" si="12"/>
        <v/>
      </c>
      <c r="X44" s="395" t="str">
        <f t="shared" si="13"/>
        <v/>
      </c>
      <c r="Y44" s="387" t="str">
        <f t="shared" si="14"/>
        <v/>
      </c>
      <c r="Z44" s="382" t="str">
        <f t="shared" si="2"/>
        <v/>
      </c>
      <c r="AA44" s="382" t="str">
        <f t="shared" si="3"/>
        <v/>
      </c>
      <c r="AB44" s="383" t="str">
        <f t="shared" si="15"/>
        <v/>
      </c>
      <c r="AC44" s="383" t="str">
        <f t="shared" si="16"/>
        <v/>
      </c>
      <c r="AD44" s="383" t="str">
        <f t="shared" si="17"/>
        <v/>
      </c>
      <c r="AE44" s="272" t="str">
        <f>IF(C44&gt;0,(IF(ABS(AB44)&lt;=10,(ABS(AB44)-Konstante!$A$24)*(Konstante!$B$25-Konstante!$B$24)/(Konstante!$A$25-Konstante!$A$24)+Konstante!$B$24,IF(ABS(AB44)&lt;=30,(ABS(AB44)-Konstante!$A$25)*(Konstante!$B$26-Konstante!$B$25)/(Konstante!$A$26-Konstante!$A$25)+Konstante!$B$25,IF(ABS(AB44)&lt;=45,(ABS(AB44)-Konstante!$A$26)*(Konstante!$B$27-Konstante!$B$26)/(Konstante!$A$27-Konstante!$A$26)+Konstante!$B$26,IF(ABS(AB44)&lt;=60,(ABS(AB44)-Konstante!$A$27)*(Konstante!$B$28-Konstante!$B$27)/(Konstante!$A$28-Konstante!$A$27)+Konstante!$B$27,IF(ABS(AB44)&lt;=180,(ABS(AB44)-Konstante!$A$28)*(Konstante!$B$29-Konstante!$B$28)/(Konstante!$A$29-Konstante!$A$28)+Konstante!$B$28,"Winkel zu groß")))))),"")</f>
        <v/>
      </c>
      <c r="AF44" s="272" t="str">
        <f>IF(C44&gt;0,(IF(ABS(AC44)&lt;=10,(ABS(AC44)-Konstante!$A$24)*(Konstante!$B$25-Konstante!$B$24)/(Konstante!$A$25-Konstante!$A$24)+Konstante!$B$24,IF(ABS(AC44)&lt;=30,(ABS(AC44)-Konstante!$A$25)*(Konstante!$B$26-Konstante!$B$25)/(Konstante!$A$26-Konstante!$A$25)+Konstante!$B$25,IF(ABS(AC44)&lt;=45,(ABS(AC44)-Konstante!$A$26)*(Konstante!$B$27-Konstante!$B$26)/(Konstante!$A$27-Konstante!$A$26)+Konstante!$B$26,IF(ABS(AC44)&lt;=60,(ABS(AC44)-Konstante!$A$27)*(Konstante!$B$28-Konstante!$B$27)/(Konstante!$A$28-Konstante!$A$27)+Konstante!$B$27,IF(ABS(AC44)&lt;=180,(ABS(AC44)-Konstante!$A$28)*(Konstante!$B$29-Konstante!$B$28)/(Konstante!$A$29-Konstante!$A$28)+Konstante!$B$28,"Winkev zu groß")))))),"")</f>
        <v/>
      </c>
      <c r="AG44" s="272" t="str">
        <f>IF(C44&gt;0,(IF(ABS(AD44)&lt;=10,(ABS(AD44)-Konstante!$A$24)*(Konstante!$B$25-Konstante!$B$24)/(Konstante!$A$25-Konstante!$A$24)+Konstante!$B$24,IF(ABS(AD44)&lt;=30,(ABS(AD44)-Konstante!$A$25)*(Konstante!$B$26-Konstante!$B$25)/(Konstante!$A$26-Konstante!$A$25)+Konstante!$B$25,IF(ABS(AD44)&lt;=45,(ABS(AD44)-Konstante!$A$26)*(Konstante!$B$27-Konstante!$B$26)/(Konstante!$A$27-Konstante!$A$26)+Konstante!$B$26,IF(ABS(AD44)&lt;=60,(ABS(AD44)-Konstante!$A$27)*(Konstante!$B$28-Konstante!$B$27)/(Konstante!$A$28-Konstante!$A$27)+Konstante!$B$27,IF(ABS(AD44)&lt;=180,(ABS(AD44)-Konstante!$A$28)*(Konstante!$B$29-Konstante!$B$28)/(Konstante!$A$29-Konstante!$A$28)+Konstante!$B$28,"Winkel zu groß")))))),"")</f>
        <v/>
      </c>
      <c r="AH44" s="18"/>
      <c r="AI44" s="18" t="str">
        <f t="shared" si="18"/>
        <v>O.K.</v>
      </c>
      <c r="AJ44" s="225">
        <f>IF(ABS(F44)&lt;=10,(ABS(F44)-Konstante!$A$24)*(Konstante!$B$25-Konstante!$B$24)/(Konstante!$A$25-Konstante!$A$24)+Konstante!$B$24,IF(ABS(F44)&lt;=30,(ABS(F44)-Konstante!$A$25)*(Konstante!$B$26-Konstante!$B$25)/(Konstante!$A$26-Konstante!$A$25)+Konstante!$B$25,IF(ABS(F44)&lt;=45,(ABS(F44)-Konstante!$A$26)*(Konstante!$B$27-Konstante!$B$26)/(Konstante!$A$27-Konstante!$A$26)+Konstante!$B$26,IF(ABS(F44)&lt;=60,(ABS(F44)-Konstante!$A$27)*(Konstante!$B$28-Konstante!$B$27)/(Konstante!$A$28-Konstante!$A$27)+Konstante!$B$27,IF(ABS(F44)&lt;=90,(ABS(F44)-Konstante!$A$28)*(Konstante!$B$29-Konstante!$B$28)/(Konstante!$A$29-Konstante!$A$28)+Konstante!$B$28,IF(ABS(F44)&lt;=120,(ABS(F44)-Konstante!$A$30)*(Konstante!$B$30-Konstante!$B$29)/(Konstante!$A$30-Konstante!$A$29)+Konstante!$B$29,"Winkel zu groß"))))))</f>
        <v>0</v>
      </c>
      <c r="AK44" s="225" t="str">
        <f t="shared" ref="AK44:AK56" si="28">IF(AND(U43&lt;U44,ISNUMBER(C44)),(1-(U43/U44))^2,"0")</f>
        <v>0</v>
      </c>
      <c r="AL44" s="225" t="str">
        <f t="shared" si="20"/>
        <v>0</v>
      </c>
    </row>
    <row r="45" spans="1:38" hidden="1" x14ac:dyDescent="0.25">
      <c r="A45" s="350" t="str">
        <f t="shared" si="0"/>
        <v/>
      </c>
      <c r="B45" s="71">
        <f t="shared" si="4"/>
        <v>17</v>
      </c>
      <c r="C45" s="188"/>
      <c r="D45" s="189"/>
      <c r="E45" s="189"/>
      <c r="F45" s="189"/>
      <c r="G45" s="186"/>
      <c r="H45" s="173">
        <f t="shared" si="5"/>
        <v>0</v>
      </c>
      <c r="I45" s="172" t="str">
        <f t="shared" si="6"/>
        <v/>
      </c>
      <c r="J45" s="170" t="str">
        <f t="shared" si="7"/>
        <v/>
      </c>
      <c r="K45" s="72" t="str">
        <f t="shared" si="21"/>
        <v/>
      </c>
      <c r="L45" s="73" t="str">
        <f t="shared" si="24"/>
        <v/>
      </c>
      <c r="M45" s="377" t="str">
        <f>IF(C45&gt;0,1/(1.14+2*LOG(Y45/Konstante!$D$32))^2,"")</f>
        <v/>
      </c>
      <c r="N45" s="324" t="str">
        <f t="shared" si="22"/>
        <v/>
      </c>
      <c r="O45" s="72" t="str">
        <f t="shared" si="8"/>
        <v/>
      </c>
      <c r="P45" s="402" t="str">
        <f t="shared" si="25"/>
        <v/>
      </c>
      <c r="Q45" s="74" t="str">
        <f t="shared" si="9"/>
        <v>Werte eingeben</v>
      </c>
      <c r="R45" s="38" t="str">
        <f t="shared" si="27"/>
        <v/>
      </c>
      <c r="S45" s="407" t="str">
        <f t="shared" si="26"/>
        <v/>
      </c>
      <c r="T45" s="225" t="str">
        <f t="shared" si="23"/>
        <v/>
      </c>
      <c r="U45" s="397" t="str">
        <f t="shared" si="1"/>
        <v/>
      </c>
      <c r="V45" s="386" t="str">
        <f t="shared" si="11"/>
        <v/>
      </c>
      <c r="W45" s="272" t="str">
        <f t="shared" si="12"/>
        <v/>
      </c>
      <c r="X45" s="395" t="str">
        <f t="shared" si="13"/>
        <v/>
      </c>
      <c r="Y45" s="387" t="str">
        <f t="shared" si="14"/>
        <v/>
      </c>
      <c r="Z45" s="382" t="str">
        <f t="shared" si="2"/>
        <v/>
      </c>
      <c r="AA45" s="382" t="str">
        <f t="shared" si="3"/>
        <v/>
      </c>
      <c r="AB45" s="383" t="str">
        <f t="shared" si="15"/>
        <v/>
      </c>
      <c r="AC45" s="383" t="str">
        <f t="shared" si="16"/>
        <v/>
      </c>
      <c r="AD45" s="383" t="str">
        <f t="shared" si="17"/>
        <v/>
      </c>
      <c r="AE45" s="272" t="str">
        <f>IF(C45&gt;0,(IF(ABS(AB45)&lt;=10,(ABS(AB45)-Konstante!$A$24)*(Konstante!$B$25-Konstante!$B$24)/(Konstante!$A$25-Konstante!$A$24)+Konstante!$B$24,IF(ABS(AB45)&lt;=30,(ABS(AB45)-Konstante!$A$25)*(Konstante!$B$26-Konstante!$B$25)/(Konstante!$A$26-Konstante!$A$25)+Konstante!$B$25,IF(ABS(AB45)&lt;=45,(ABS(AB45)-Konstante!$A$26)*(Konstante!$B$27-Konstante!$B$26)/(Konstante!$A$27-Konstante!$A$26)+Konstante!$B$26,IF(ABS(AB45)&lt;=60,(ABS(AB45)-Konstante!$A$27)*(Konstante!$B$28-Konstante!$B$27)/(Konstante!$A$28-Konstante!$A$27)+Konstante!$B$27,IF(ABS(AB45)&lt;=180,(ABS(AB45)-Konstante!$A$28)*(Konstante!$B$29-Konstante!$B$28)/(Konstante!$A$29-Konstante!$A$28)+Konstante!$B$28,"Winkel zu groß")))))),"")</f>
        <v/>
      </c>
      <c r="AF45" s="272" t="str">
        <f>IF(C45&gt;0,(IF(ABS(AC45)&lt;=10,(ABS(AC45)-Konstante!$A$24)*(Konstante!$B$25-Konstante!$B$24)/(Konstante!$A$25-Konstante!$A$24)+Konstante!$B$24,IF(ABS(AC45)&lt;=30,(ABS(AC45)-Konstante!$A$25)*(Konstante!$B$26-Konstante!$B$25)/(Konstante!$A$26-Konstante!$A$25)+Konstante!$B$25,IF(ABS(AC45)&lt;=45,(ABS(AC45)-Konstante!$A$26)*(Konstante!$B$27-Konstante!$B$26)/(Konstante!$A$27-Konstante!$A$26)+Konstante!$B$26,IF(ABS(AC45)&lt;=60,(ABS(AC45)-Konstante!$A$27)*(Konstante!$B$28-Konstante!$B$27)/(Konstante!$A$28-Konstante!$A$27)+Konstante!$B$27,IF(ABS(AC45)&lt;=180,(ABS(AC45)-Konstante!$A$28)*(Konstante!$B$29-Konstante!$B$28)/(Konstante!$A$29-Konstante!$A$28)+Konstante!$B$28,"Winkev zu groß")))))),"")</f>
        <v/>
      </c>
      <c r="AG45" s="272" t="str">
        <f>IF(C45&gt;0,(IF(ABS(AD45)&lt;=10,(ABS(AD45)-Konstante!$A$24)*(Konstante!$B$25-Konstante!$B$24)/(Konstante!$A$25-Konstante!$A$24)+Konstante!$B$24,IF(ABS(AD45)&lt;=30,(ABS(AD45)-Konstante!$A$25)*(Konstante!$B$26-Konstante!$B$25)/(Konstante!$A$26-Konstante!$A$25)+Konstante!$B$25,IF(ABS(AD45)&lt;=45,(ABS(AD45)-Konstante!$A$26)*(Konstante!$B$27-Konstante!$B$26)/(Konstante!$A$27-Konstante!$A$26)+Konstante!$B$26,IF(ABS(AD45)&lt;=60,(ABS(AD45)-Konstante!$A$27)*(Konstante!$B$28-Konstante!$B$27)/(Konstante!$A$28-Konstante!$A$27)+Konstante!$B$27,IF(ABS(AD45)&lt;=180,(ABS(AD45)-Konstante!$A$28)*(Konstante!$B$29-Konstante!$B$28)/(Konstante!$A$29-Konstante!$A$28)+Konstante!$B$28,"Winkel zu groß")))))),"")</f>
        <v/>
      </c>
      <c r="AH45" s="18"/>
      <c r="AI45" s="18" t="str">
        <f t="shared" si="18"/>
        <v>O.K.</v>
      </c>
      <c r="AJ45" s="225">
        <f>IF(ABS(F45)&lt;=10,(ABS(F45)-Konstante!$A$24)*(Konstante!$B$25-Konstante!$B$24)/(Konstante!$A$25-Konstante!$A$24)+Konstante!$B$24,IF(ABS(F45)&lt;=30,(ABS(F45)-Konstante!$A$25)*(Konstante!$B$26-Konstante!$B$25)/(Konstante!$A$26-Konstante!$A$25)+Konstante!$B$25,IF(ABS(F45)&lt;=45,(ABS(F45)-Konstante!$A$26)*(Konstante!$B$27-Konstante!$B$26)/(Konstante!$A$27-Konstante!$A$26)+Konstante!$B$26,IF(ABS(F45)&lt;=60,(ABS(F45)-Konstante!$A$27)*(Konstante!$B$28-Konstante!$B$27)/(Konstante!$A$28-Konstante!$A$27)+Konstante!$B$27,IF(ABS(F45)&lt;=90,(ABS(F45)-Konstante!$A$28)*(Konstante!$B$29-Konstante!$B$28)/(Konstante!$A$29-Konstante!$A$28)+Konstante!$B$28,IF(ABS(F45)&lt;=120,(ABS(F45)-Konstante!$A$30)*(Konstante!$B$30-Konstante!$B$29)/(Konstante!$A$30-Konstante!$A$29)+Konstante!$B$29,"Winkel zu groß"))))))</f>
        <v>0</v>
      </c>
      <c r="AK45" s="225" t="str">
        <f t="shared" si="28"/>
        <v>0</v>
      </c>
      <c r="AL45" s="225" t="str">
        <f t="shared" si="20"/>
        <v>0</v>
      </c>
    </row>
    <row r="46" spans="1:38" hidden="1" x14ac:dyDescent="0.25">
      <c r="A46" s="350" t="str">
        <f t="shared" si="0"/>
        <v/>
      </c>
      <c r="B46" s="71">
        <f t="shared" si="4"/>
        <v>18</v>
      </c>
      <c r="C46" s="188"/>
      <c r="D46" s="189"/>
      <c r="E46" s="189"/>
      <c r="F46" s="189"/>
      <c r="G46" s="186"/>
      <c r="H46" s="173">
        <f t="shared" si="5"/>
        <v>0</v>
      </c>
      <c r="I46" s="172" t="str">
        <f t="shared" si="6"/>
        <v/>
      </c>
      <c r="J46" s="170" t="str">
        <f t="shared" si="7"/>
        <v/>
      </c>
      <c r="K46" s="72" t="str">
        <f t="shared" si="21"/>
        <v/>
      </c>
      <c r="L46" s="73" t="str">
        <f t="shared" si="24"/>
        <v/>
      </c>
      <c r="M46" s="377" t="str">
        <f>IF(C46&gt;0,1/(1.14+2*LOG(Y46/Konstante!$D$32))^2,"")</f>
        <v/>
      </c>
      <c r="N46" s="324" t="str">
        <f t="shared" si="22"/>
        <v/>
      </c>
      <c r="O46" s="72" t="str">
        <f t="shared" si="8"/>
        <v/>
      </c>
      <c r="P46" s="402" t="str">
        <f t="shared" si="25"/>
        <v/>
      </c>
      <c r="Q46" s="74" t="str">
        <f t="shared" si="9"/>
        <v>Werte eingeben</v>
      </c>
      <c r="R46" s="38" t="str">
        <f t="shared" si="27"/>
        <v/>
      </c>
      <c r="S46" s="407" t="str">
        <f t="shared" si="26"/>
        <v/>
      </c>
      <c r="T46" s="225" t="str">
        <f t="shared" si="23"/>
        <v/>
      </c>
      <c r="U46" s="397" t="str">
        <f t="shared" si="1"/>
        <v/>
      </c>
      <c r="V46" s="386" t="str">
        <f t="shared" si="11"/>
        <v/>
      </c>
      <c r="W46" s="272" t="str">
        <f t="shared" si="12"/>
        <v/>
      </c>
      <c r="X46" s="395" t="str">
        <f t="shared" si="13"/>
        <v/>
      </c>
      <c r="Y46" s="387" t="str">
        <f t="shared" si="14"/>
        <v/>
      </c>
      <c r="Z46" s="382" t="str">
        <f t="shared" si="2"/>
        <v/>
      </c>
      <c r="AA46" s="382" t="str">
        <f t="shared" si="3"/>
        <v/>
      </c>
      <c r="AB46" s="383" t="str">
        <f t="shared" si="15"/>
        <v/>
      </c>
      <c r="AC46" s="383" t="str">
        <f t="shared" si="16"/>
        <v/>
      </c>
      <c r="AD46" s="383" t="str">
        <f t="shared" si="17"/>
        <v/>
      </c>
      <c r="AE46" s="272" t="str">
        <f>IF(C46&gt;0,(IF(ABS(AB46)&lt;=10,(ABS(AB46)-Konstante!$A$24)*(Konstante!$B$25-Konstante!$B$24)/(Konstante!$A$25-Konstante!$A$24)+Konstante!$B$24,IF(ABS(AB46)&lt;=30,(ABS(AB46)-Konstante!$A$25)*(Konstante!$B$26-Konstante!$B$25)/(Konstante!$A$26-Konstante!$A$25)+Konstante!$B$25,IF(ABS(AB46)&lt;=45,(ABS(AB46)-Konstante!$A$26)*(Konstante!$B$27-Konstante!$B$26)/(Konstante!$A$27-Konstante!$A$26)+Konstante!$B$26,IF(ABS(AB46)&lt;=60,(ABS(AB46)-Konstante!$A$27)*(Konstante!$B$28-Konstante!$B$27)/(Konstante!$A$28-Konstante!$A$27)+Konstante!$B$27,IF(ABS(AB46)&lt;=180,(ABS(AB46)-Konstante!$A$28)*(Konstante!$B$29-Konstante!$B$28)/(Konstante!$A$29-Konstante!$A$28)+Konstante!$B$28,"Winkel zu groß")))))),"")</f>
        <v/>
      </c>
      <c r="AF46" s="272" t="str">
        <f>IF(C46&gt;0,(IF(ABS(AC46)&lt;=10,(ABS(AC46)-Konstante!$A$24)*(Konstante!$B$25-Konstante!$B$24)/(Konstante!$A$25-Konstante!$A$24)+Konstante!$B$24,IF(ABS(AC46)&lt;=30,(ABS(AC46)-Konstante!$A$25)*(Konstante!$B$26-Konstante!$B$25)/(Konstante!$A$26-Konstante!$A$25)+Konstante!$B$25,IF(ABS(AC46)&lt;=45,(ABS(AC46)-Konstante!$A$26)*(Konstante!$B$27-Konstante!$B$26)/(Konstante!$A$27-Konstante!$A$26)+Konstante!$B$26,IF(ABS(AC46)&lt;=60,(ABS(AC46)-Konstante!$A$27)*(Konstante!$B$28-Konstante!$B$27)/(Konstante!$A$28-Konstante!$A$27)+Konstante!$B$27,IF(ABS(AC46)&lt;=180,(ABS(AC46)-Konstante!$A$28)*(Konstante!$B$29-Konstante!$B$28)/(Konstante!$A$29-Konstante!$A$28)+Konstante!$B$28,"Winkev zu groß")))))),"")</f>
        <v/>
      </c>
      <c r="AG46" s="272" t="str">
        <f>IF(C46&gt;0,(IF(ABS(AD46)&lt;=10,(ABS(AD46)-Konstante!$A$24)*(Konstante!$B$25-Konstante!$B$24)/(Konstante!$A$25-Konstante!$A$24)+Konstante!$B$24,IF(ABS(AD46)&lt;=30,(ABS(AD46)-Konstante!$A$25)*(Konstante!$B$26-Konstante!$B$25)/(Konstante!$A$26-Konstante!$A$25)+Konstante!$B$25,IF(ABS(AD46)&lt;=45,(ABS(AD46)-Konstante!$A$26)*(Konstante!$B$27-Konstante!$B$26)/(Konstante!$A$27-Konstante!$A$26)+Konstante!$B$26,IF(ABS(AD46)&lt;=60,(ABS(AD46)-Konstante!$A$27)*(Konstante!$B$28-Konstante!$B$27)/(Konstante!$A$28-Konstante!$A$27)+Konstante!$B$27,IF(ABS(AD46)&lt;=180,(ABS(AD46)-Konstante!$A$28)*(Konstante!$B$29-Konstante!$B$28)/(Konstante!$A$29-Konstante!$A$28)+Konstante!$B$28,"Winkel zu groß")))))),"")</f>
        <v/>
      </c>
      <c r="AH46" s="18"/>
      <c r="AI46" s="18" t="str">
        <f t="shared" si="18"/>
        <v>O.K.</v>
      </c>
      <c r="AJ46" s="225">
        <f>IF(ABS(F46)&lt;=10,(ABS(F46)-Konstante!$A$24)*(Konstante!$B$25-Konstante!$B$24)/(Konstante!$A$25-Konstante!$A$24)+Konstante!$B$24,IF(ABS(F46)&lt;=30,(ABS(F46)-Konstante!$A$25)*(Konstante!$B$26-Konstante!$B$25)/(Konstante!$A$26-Konstante!$A$25)+Konstante!$B$25,IF(ABS(F46)&lt;=45,(ABS(F46)-Konstante!$A$26)*(Konstante!$B$27-Konstante!$B$26)/(Konstante!$A$27-Konstante!$A$26)+Konstante!$B$26,IF(ABS(F46)&lt;=60,(ABS(F46)-Konstante!$A$27)*(Konstante!$B$28-Konstante!$B$27)/(Konstante!$A$28-Konstante!$A$27)+Konstante!$B$27,IF(ABS(F46)&lt;=90,(ABS(F46)-Konstante!$A$28)*(Konstante!$B$29-Konstante!$B$28)/(Konstante!$A$29-Konstante!$A$28)+Konstante!$B$28,IF(ABS(F46)&lt;=120,(ABS(F46)-Konstante!$A$30)*(Konstante!$B$30-Konstante!$B$29)/(Konstante!$A$30-Konstante!$A$29)+Konstante!$B$29,"Winkel zu groß"))))))</f>
        <v>0</v>
      </c>
      <c r="AK46" s="225" t="str">
        <f t="shared" si="28"/>
        <v>0</v>
      </c>
      <c r="AL46" s="225" t="str">
        <f t="shared" si="20"/>
        <v>0</v>
      </c>
    </row>
    <row r="47" spans="1:38" hidden="1" x14ac:dyDescent="0.25">
      <c r="A47" s="350" t="str">
        <f t="shared" si="0"/>
        <v/>
      </c>
      <c r="B47" s="71">
        <f t="shared" si="4"/>
        <v>19</v>
      </c>
      <c r="C47" s="188"/>
      <c r="D47" s="189"/>
      <c r="E47" s="189"/>
      <c r="F47" s="189"/>
      <c r="G47" s="186"/>
      <c r="H47" s="173">
        <f t="shared" si="5"/>
        <v>0</v>
      </c>
      <c r="I47" s="172" t="str">
        <f t="shared" si="6"/>
        <v/>
      </c>
      <c r="J47" s="170" t="str">
        <f t="shared" si="7"/>
        <v/>
      </c>
      <c r="K47" s="72" t="str">
        <f t="shared" si="21"/>
        <v/>
      </c>
      <c r="L47" s="73" t="str">
        <f t="shared" si="24"/>
        <v/>
      </c>
      <c r="M47" s="377" t="str">
        <f>IF(C47&gt;0,1/(1.14+2*LOG(Y47/Konstante!$D$32))^2,"")</f>
        <v/>
      </c>
      <c r="N47" s="324" t="str">
        <f t="shared" si="22"/>
        <v/>
      </c>
      <c r="O47" s="72" t="str">
        <f t="shared" si="8"/>
        <v/>
      </c>
      <c r="P47" s="402" t="str">
        <f t="shared" si="25"/>
        <v/>
      </c>
      <c r="Q47" s="74" t="str">
        <f t="shared" si="9"/>
        <v>Werte eingeben</v>
      </c>
      <c r="R47" s="38" t="str">
        <f t="shared" si="27"/>
        <v/>
      </c>
      <c r="S47" s="407" t="str">
        <f t="shared" si="26"/>
        <v/>
      </c>
      <c r="T47" s="225" t="str">
        <f t="shared" si="23"/>
        <v/>
      </c>
      <c r="U47" s="397" t="str">
        <f t="shared" si="1"/>
        <v/>
      </c>
      <c r="V47" s="386" t="str">
        <f t="shared" si="11"/>
        <v/>
      </c>
      <c r="W47" s="272" t="str">
        <f t="shared" si="12"/>
        <v/>
      </c>
      <c r="X47" s="395" t="str">
        <f t="shared" si="13"/>
        <v/>
      </c>
      <c r="Y47" s="387" t="str">
        <f t="shared" si="14"/>
        <v/>
      </c>
      <c r="Z47" s="382" t="str">
        <f t="shared" si="2"/>
        <v/>
      </c>
      <c r="AA47" s="382" t="str">
        <f t="shared" si="3"/>
        <v/>
      </c>
      <c r="AB47" s="383" t="str">
        <f t="shared" si="15"/>
        <v/>
      </c>
      <c r="AC47" s="383" t="str">
        <f t="shared" si="16"/>
        <v/>
      </c>
      <c r="AD47" s="383" t="str">
        <f t="shared" si="17"/>
        <v/>
      </c>
      <c r="AE47" s="272" t="str">
        <f>IF(C47&gt;0,(IF(ABS(AB47)&lt;=10,(ABS(AB47)-Konstante!$A$24)*(Konstante!$B$25-Konstante!$B$24)/(Konstante!$A$25-Konstante!$A$24)+Konstante!$B$24,IF(ABS(AB47)&lt;=30,(ABS(AB47)-Konstante!$A$25)*(Konstante!$B$26-Konstante!$B$25)/(Konstante!$A$26-Konstante!$A$25)+Konstante!$B$25,IF(ABS(AB47)&lt;=45,(ABS(AB47)-Konstante!$A$26)*(Konstante!$B$27-Konstante!$B$26)/(Konstante!$A$27-Konstante!$A$26)+Konstante!$B$26,IF(ABS(AB47)&lt;=60,(ABS(AB47)-Konstante!$A$27)*(Konstante!$B$28-Konstante!$B$27)/(Konstante!$A$28-Konstante!$A$27)+Konstante!$B$27,IF(ABS(AB47)&lt;=180,(ABS(AB47)-Konstante!$A$28)*(Konstante!$B$29-Konstante!$B$28)/(Konstante!$A$29-Konstante!$A$28)+Konstante!$B$28,"Winkel zu groß")))))),"")</f>
        <v/>
      </c>
      <c r="AF47" s="272" t="str">
        <f>IF(C47&gt;0,(IF(ABS(AC47)&lt;=10,(ABS(AC47)-Konstante!$A$24)*(Konstante!$B$25-Konstante!$B$24)/(Konstante!$A$25-Konstante!$A$24)+Konstante!$B$24,IF(ABS(AC47)&lt;=30,(ABS(AC47)-Konstante!$A$25)*(Konstante!$B$26-Konstante!$B$25)/(Konstante!$A$26-Konstante!$A$25)+Konstante!$B$25,IF(ABS(AC47)&lt;=45,(ABS(AC47)-Konstante!$A$26)*(Konstante!$B$27-Konstante!$B$26)/(Konstante!$A$27-Konstante!$A$26)+Konstante!$B$26,IF(ABS(AC47)&lt;=60,(ABS(AC47)-Konstante!$A$27)*(Konstante!$B$28-Konstante!$B$27)/(Konstante!$A$28-Konstante!$A$27)+Konstante!$B$27,IF(ABS(AC47)&lt;=180,(ABS(AC47)-Konstante!$A$28)*(Konstante!$B$29-Konstante!$B$28)/(Konstante!$A$29-Konstante!$A$28)+Konstante!$B$28,"Winkev zu groß")))))),"")</f>
        <v/>
      </c>
      <c r="AG47" s="272" t="str">
        <f>IF(C47&gt;0,(IF(ABS(AD47)&lt;=10,(ABS(AD47)-Konstante!$A$24)*(Konstante!$B$25-Konstante!$B$24)/(Konstante!$A$25-Konstante!$A$24)+Konstante!$B$24,IF(ABS(AD47)&lt;=30,(ABS(AD47)-Konstante!$A$25)*(Konstante!$B$26-Konstante!$B$25)/(Konstante!$A$26-Konstante!$A$25)+Konstante!$B$25,IF(ABS(AD47)&lt;=45,(ABS(AD47)-Konstante!$A$26)*(Konstante!$B$27-Konstante!$B$26)/(Konstante!$A$27-Konstante!$A$26)+Konstante!$B$26,IF(ABS(AD47)&lt;=60,(ABS(AD47)-Konstante!$A$27)*(Konstante!$B$28-Konstante!$B$27)/(Konstante!$A$28-Konstante!$A$27)+Konstante!$B$27,IF(ABS(AD47)&lt;=180,(ABS(AD47)-Konstante!$A$28)*(Konstante!$B$29-Konstante!$B$28)/(Konstante!$A$29-Konstante!$A$28)+Konstante!$B$28,"Winkel zu groß")))))),"")</f>
        <v/>
      </c>
      <c r="AH47" s="18"/>
      <c r="AI47" s="18" t="str">
        <f t="shared" si="18"/>
        <v>O.K.</v>
      </c>
      <c r="AJ47" s="225">
        <f>IF(ABS(F47)&lt;=10,(ABS(F47)-Konstante!$A$24)*(Konstante!$B$25-Konstante!$B$24)/(Konstante!$A$25-Konstante!$A$24)+Konstante!$B$24,IF(ABS(F47)&lt;=30,(ABS(F47)-Konstante!$A$25)*(Konstante!$B$26-Konstante!$B$25)/(Konstante!$A$26-Konstante!$A$25)+Konstante!$B$25,IF(ABS(F47)&lt;=45,(ABS(F47)-Konstante!$A$26)*(Konstante!$B$27-Konstante!$B$26)/(Konstante!$A$27-Konstante!$A$26)+Konstante!$B$26,IF(ABS(F47)&lt;=60,(ABS(F47)-Konstante!$A$27)*(Konstante!$B$28-Konstante!$B$27)/(Konstante!$A$28-Konstante!$A$27)+Konstante!$B$27,IF(ABS(F47)&lt;=90,(ABS(F47)-Konstante!$A$28)*(Konstante!$B$29-Konstante!$B$28)/(Konstante!$A$29-Konstante!$A$28)+Konstante!$B$28,IF(ABS(F47)&lt;=120,(ABS(F47)-Konstante!$A$30)*(Konstante!$B$30-Konstante!$B$29)/(Konstante!$A$30-Konstante!$A$29)+Konstante!$B$29,"Winkel zu groß"))))))</f>
        <v>0</v>
      </c>
      <c r="AK47" s="225" t="str">
        <f t="shared" si="28"/>
        <v>0</v>
      </c>
      <c r="AL47" s="225" t="str">
        <f t="shared" si="20"/>
        <v>0</v>
      </c>
    </row>
    <row r="48" spans="1:38" hidden="1" x14ac:dyDescent="0.25">
      <c r="A48" s="350" t="str">
        <f t="shared" si="0"/>
        <v/>
      </c>
      <c r="B48" s="71">
        <f t="shared" si="4"/>
        <v>20</v>
      </c>
      <c r="C48" s="188"/>
      <c r="D48" s="189"/>
      <c r="E48" s="189"/>
      <c r="F48" s="189"/>
      <c r="G48" s="186"/>
      <c r="H48" s="173">
        <f t="shared" si="5"/>
        <v>0</v>
      </c>
      <c r="I48" s="172" t="str">
        <f t="shared" si="6"/>
        <v/>
      </c>
      <c r="J48" s="170" t="str">
        <f t="shared" si="7"/>
        <v/>
      </c>
      <c r="K48" s="72" t="str">
        <f t="shared" si="21"/>
        <v/>
      </c>
      <c r="L48" s="73" t="str">
        <f t="shared" si="24"/>
        <v/>
      </c>
      <c r="M48" s="377" t="str">
        <f>IF(C48&gt;0,1/(1.14+2*LOG(Y48/Konstante!$D$32))^2,"")</f>
        <v/>
      </c>
      <c r="N48" s="324" t="str">
        <f t="shared" si="22"/>
        <v/>
      </c>
      <c r="O48" s="72" t="str">
        <f t="shared" si="8"/>
        <v/>
      </c>
      <c r="P48" s="402" t="str">
        <f t="shared" si="25"/>
        <v/>
      </c>
      <c r="Q48" s="74" t="str">
        <f t="shared" si="9"/>
        <v>Werte eingeben</v>
      </c>
      <c r="R48" s="38" t="str">
        <f t="shared" si="27"/>
        <v/>
      </c>
      <c r="S48" s="407" t="str">
        <f t="shared" si="26"/>
        <v/>
      </c>
      <c r="T48" s="225" t="str">
        <f t="shared" si="23"/>
        <v/>
      </c>
      <c r="U48" s="397" t="str">
        <f t="shared" si="1"/>
        <v/>
      </c>
      <c r="V48" s="386" t="str">
        <f t="shared" si="11"/>
        <v/>
      </c>
      <c r="W48" s="272" t="str">
        <f t="shared" si="12"/>
        <v/>
      </c>
      <c r="X48" s="395" t="str">
        <f t="shared" si="13"/>
        <v/>
      </c>
      <c r="Y48" s="387" t="str">
        <f t="shared" si="14"/>
        <v/>
      </c>
      <c r="Z48" s="382" t="str">
        <f t="shared" si="2"/>
        <v/>
      </c>
      <c r="AA48" s="382" t="str">
        <f t="shared" si="3"/>
        <v/>
      </c>
      <c r="AB48" s="383" t="str">
        <f t="shared" si="15"/>
        <v/>
      </c>
      <c r="AC48" s="383" t="str">
        <f t="shared" si="16"/>
        <v/>
      </c>
      <c r="AD48" s="383" t="str">
        <f t="shared" si="17"/>
        <v/>
      </c>
      <c r="AE48" s="272" t="str">
        <f>IF(C48&gt;0,(IF(ABS(AB48)&lt;=10,(ABS(AB48)-Konstante!$A$24)*(Konstante!$B$25-Konstante!$B$24)/(Konstante!$A$25-Konstante!$A$24)+Konstante!$B$24,IF(ABS(AB48)&lt;=30,(ABS(AB48)-Konstante!$A$25)*(Konstante!$B$26-Konstante!$B$25)/(Konstante!$A$26-Konstante!$A$25)+Konstante!$B$25,IF(ABS(AB48)&lt;=45,(ABS(AB48)-Konstante!$A$26)*(Konstante!$B$27-Konstante!$B$26)/(Konstante!$A$27-Konstante!$A$26)+Konstante!$B$26,IF(ABS(AB48)&lt;=60,(ABS(AB48)-Konstante!$A$27)*(Konstante!$B$28-Konstante!$B$27)/(Konstante!$A$28-Konstante!$A$27)+Konstante!$B$27,IF(ABS(AB48)&lt;=180,(ABS(AB48)-Konstante!$A$28)*(Konstante!$B$29-Konstante!$B$28)/(Konstante!$A$29-Konstante!$A$28)+Konstante!$B$28,"Winkel zu groß")))))),"")</f>
        <v/>
      </c>
      <c r="AF48" s="272" t="str">
        <f>IF(C48&gt;0,(IF(ABS(AC48)&lt;=10,(ABS(AC48)-Konstante!$A$24)*(Konstante!$B$25-Konstante!$B$24)/(Konstante!$A$25-Konstante!$A$24)+Konstante!$B$24,IF(ABS(AC48)&lt;=30,(ABS(AC48)-Konstante!$A$25)*(Konstante!$B$26-Konstante!$B$25)/(Konstante!$A$26-Konstante!$A$25)+Konstante!$B$25,IF(ABS(AC48)&lt;=45,(ABS(AC48)-Konstante!$A$26)*(Konstante!$B$27-Konstante!$B$26)/(Konstante!$A$27-Konstante!$A$26)+Konstante!$B$26,IF(ABS(AC48)&lt;=60,(ABS(AC48)-Konstante!$A$27)*(Konstante!$B$28-Konstante!$B$27)/(Konstante!$A$28-Konstante!$A$27)+Konstante!$B$27,IF(ABS(AC48)&lt;=180,(ABS(AC48)-Konstante!$A$28)*(Konstante!$B$29-Konstante!$B$28)/(Konstante!$A$29-Konstante!$A$28)+Konstante!$B$28,"Winkev zu groß")))))),"")</f>
        <v/>
      </c>
      <c r="AG48" s="272" t="str">
        <f>IF(C48&gt;0,(IF(ABS(AD48)&lt;=10,(ABS(AD48)-Konstante!$A$24)*(Konstante!$B$25-Konstante!$B$24)/(Konstante!$A$25-Konstante!$A$24)+Konstante!$B$24,IF(ABS(AD48)&lt;=30,(ABS(AD48)-Konstante!$A$25)*(Konstante!$B$26-Konstante!$B$25)/(Konstante!$A$26-Konstante!$A$25)+Konstante!$B$25,IF(ABS(AD48)&lt;=45,(ABS(AD48)-Konstante!$A$26)*(Konstante!$B$27-Konstante!$B$26)/(Konstante!$A$27-Konstante!$A$26)+Konstante!$B$26,IF(ABS(AD48)&lt;=60,(ABS(AD48)-Konstante!$A$27)*(Konstante!$B$28-Konstante!$B$27)/(Konstante!$A$28-Konstante!$A$27)+Konstante!$B$27,IF(ABS(AD48)&lt;=180,(ABS(AD48)-Konstante!$A$28)*(Konstante!$B$29-Konstante!$B$28)/(Konstante!$A$29-Konstante!$A$28)+Konstante!$B$28,"Winkel zu groß")))))),"")</f>
        <v/>
      </c>
      <c r="AH48" s="18"/>
      <c r="AI48" s="18" t="str">
        <f t="shared" si="18"/>
        <v>O.K.</v>
      </c>
      <c r="AJ48" s="225">
        <f>IF(ABS(F48)&lt;=10,(ABS(F48)-Konstante!$A$24)*(Konstante!$B$25-Konstante!$B$24)/(Konstante!$A$25-Konstante!$A$24)+Konstante!$B$24,IF(ABS(F48)&lt;=30,(ABS(F48)-Konstante!$A$25)*(Konstante!$B$26-Konstante!$B$25)/(Konstante!$A$26-Konstante!$A$25)+Konstante!$B$25,IF(ABS(F48)&lt;=45,(ABS(F48)-Konstante!$A$26)*(Konstante!$B$27-Konstante!$B$26)/(Konstante!$A$27-Konstante!$A$26)+Konstante!$B$26,IF(ABS(F48)&lt;=60,(ABS(F48)-Konstante!$A$27)*(Konstante!$B$28-Konstante!$B$27)/(Konstante!$A$28-Konstante!$A$27)+Konstante!$B$27,IF(ABS(F48)&lt;=90,(ABS(F48)-Konstante!$A$28)*(Konstante!$B$29-Konstante!$B$28)/(Konstante!$A$29-Konstante!$A$28)+Konstante!$B$28,IF(ABS(F48)&lt;=120,(ABS(F48)-Konstante!$A$30)*(Konstante!$B$30-Konstante!$B$29)/(Konstante!$A$30-Konstante!$A$29)+Konstante!$B$29,"Winkel zu groß"))))))</f>
        <v>0</v>
      </c>
      <c r="AK48" s="225" t="str">
        <f t="shared" si="28"/>
        <v>0</v>
      </c>
      <c r="AL48" s="225" t="str">
        <f t="shared" si="20"/>
        <v>0</v>
      </c>
    </row>
    <row r="49" spans="1:38" hidden="1" x14ac:dyDescent="0.25">
      <c r="A49" s="350" t="str">
        <f t="shared" si="0"/>
        <v/>
      </c>
      <c r="B49" s="71">
        <f t="shared" si="4"/>
        <v>21</v>
      </c>
      <c r="C49" s="188"/>
      <c r="D49" s="189"/>
      <c r="E49" s="189"/>
      <c r="F49" s="189"/>
      <c r="G49" s="186"/>
      <c r="H49" s="173">
        <f t="shared" si="5"/>
        <v>0</v>
      </c>
      <c r="I49" s="172" t="str">
        <f t="shared" si="6"/>
        <v/>
      </c>
      <c r="J49" s="170" t="str">
        <f t="shared" si="7"/>
        <v/>
      </c>
      <c r="K49" s="72" t="str">
        <f t="shared" si="21"/>
        <v/>
      </c>
      <c r="L49" s="73" t="str">
        <f t="shared" si="24"/>
        <v/>
      </c>
      <c r="M49" s="377" t="str">
        <f>IF(C49&gt;0,1/(1.14+2*LOG(Y49/Konstante!$D$32))^2,"")</f>
        <v/>
      </c>
      <c r="N49" s="324" t="str">
        <f t="shared" si="22"/>
        <v/>
      </c>
      <c r="O49" s="72" t="str">
        <f t="shared" si="8"/>
        <v/>
      </c>
      <c r="P49" s="402" t="str">
        <f t="shared" si="25"/>
        <v/>
      </c>
      <c r="Q49" s="74" t="str">
        <f t="shared" si="9"/>
        <v>Werte eingeben</v>
      </c>
      <c r="R49" s="38" t="str">
        <f t="shared" si="27"/>
        <v/>
      </c>
      <c r="S49" s="407" t="str">
        <f t="shared" si="26"/>
        <v/>
      </c>
      <c r="T49" s="225" t="str">
        <f t="shared" si="23"/>
        <v/>
      </c>
      <c r="U49" s="397" t="str">
        <f t="shared" si="1"/>
        <v/>
      </c>
      <c r="V49" s="386" t="str">
        <f t="shared" si="11"/>
        <v/>
      </c>
      <c r="W49" s="272" t="str">
        <f t="shared" si="12"/>
        <v/>
      </c>
      <c r="X49" s="395" t="str">
        <f t="shared" si="13"/>
        <v/>
      </c>
      <c r="Y49" s="387" t="str">
        <f t="shared" si="14"/>
        <v/>
      </c>
      <c r="Z49" s="382" t="str">
        <f t="shared" si="2"/>
        <v/>
      </c>
      <c r="AA49" s="382" t="str">
        <f t="shared" si="3"/>
        <v/>
      </c>
      <c r="AB49" s="383" t="str">
        <f t="shared" si="15"/>
        <v/>
      </c>
      <c r="AC49" s="383" t="str">
        <f t="shared" si="16"/>
        <v/>
      </c>
      <c r="AD49" s="383" t="str">
        <f t="shared" si="17"/>
        <v/>
      </c>
      <c r="AE49" s="272" t="str">
        <f>IF(C49&gt;0,(IF(ABS(AB49)&lt;=10,(ABS(AB49)-Konstante!$A$24)*(Konstante!$B$25-Konstante!$B$24)/(Konstante!$A$25-Konstante!$A$24)+Konstante!$B$24,IF(ABS(AB49)&lt;=30,(ABS(AB49)-Konstante!$A$25)*(Konstante!$B$26-Konstante!$B$25)/(Konstante!$A$26-Konstante!$A$25)+Konstante!$B$25,IF(ABS(AB49)&lt;=45,(ABS(AB49)-Konstante!$A$26)*(Konstante!$B$27-Konstante!$B$26)/(Konstante!$A$27-Konstante!$A$26)+Konstante!$B$26,IF(ABS(AB49)&lt;=60,(ABS(AB49)-Konstante!$A$27)*(Konstante!$B$28-Konstante!$B$27)/(Konstante!$A$28-Konstante!$A$27)+Konstante!$B$27,IF(ABS(AB49)&lt;=180,(ABS(AB49)-Konstante!$A$28)*(Konstante!$B$29-Konstante!$B$28)/(Konstante!$A$29-Konstante!$A$28)+Konstante!$B$28,"Winkel zu groß")))))),"")</f>
        <v/>
      </c>
      <c r="AF49" s="272" t="str">
        <f>IF(C49&gt;0,(IF(ABS(AC49)&lt;=10,(ABS(AC49)-Konstante!$A$24)*(Konstante!$B$25-Konstante!$B$24)/(Konstante!$A$25-Konstante!$A$24)+Konstante!$B$24,IF(ABS(AC49)&lt;=30,(ABS(AC49)-Konstante!$A$25)*(Konstante!$B$26-Konstante!$B$25)/(Konstante!$A$26-Konstante!$A$25)+Konstante!$B$25,IF(ABS(AC49)&lt;=45,(ABS(AC49)-Konstante!$A$26)*(Konstante!$B$27-Konstante!$B$26)/(Konstante!$A$27-Konstante!$A$26)+Konstante!$B$26,IF(ABS(AC49)&lt;=60,(ABS(AC49)-Konstante!$A$27)*(Konstante!$B$28-Konstante!$B$27)/(Konstante!$A$28-Konstante!$A$27)+Konstante!$B$27,IF(ABS(AC49)&lt;=180,(ABS(AC49)-Konstante!$A$28)*(Konstante!$B$29-Konstante!$B$28)/(Konstante!$A$29-Konstante!$A$28)+Konstante!$B$28,"Winkev zu groß")))))),"")</f>
        <v/>
      </c>
      <c r="AG49" s="272" t="str">
        <f>IF(C49&gt;0,(IF(ABS(AD49)&lt;=10,(ABS(AD49)-Konstante!$A$24)*(Konstante!$B$25-Konstante!$B$24)/(Konstante!$A$25-Konstante!$A$24)+Konstante!$B$24,IF(ABS(AD49)&lt;=30,(ABS(AD49)-Konstante!$A$25)*(Konstante!$B$26-Konstante!$B$25)/(Konstante!$A$26-Konstante!$A$25)+Konstante!$B$25,IF(ABS(AD49)&lt;=45,(ABS(AD49)-Konstante!$A$26)*(Konstante!$B$27-Konstante!$B$26)/(Konstante!$A$27-Konstante!$A$26)+Konstante!$B$26,IF(ABS(AD49)&lt;=60,(ABS(AD49)-Konstante!$A$27)*(Konstante!$B$28-Konstante!$B$27)/(Konstante!$A$28-Konstante!$A$27)+Konstante!$B$27,IF(ABS(AD49)&lt;=180,(ABS(AD49)-Konstante!$A$28)*(Konstante!$B$29-Konstante!$B$28)/(Konstante!$A$29-Konstante!$A$28)+Konstante!$B$28,"Winkel zu groß")))))),"")</f>
        <v/>
      </c>
      <c r="AH49" s="18"/>
      <c r="AI49" s="18" t="str">
        <f t="shared" si="18"/>
        <v>O.K.</v>
      </c>
      <c r="AJ49" s="225">
        <f>IF(ABS(F49)&lt;=10,(ABS(F49)-Konstante!$A$24)*(Konstante!$B$25-Konstante!$B$24)/(Konstante!$A$25-Konstante!$A$24)+Konstante!$B$24,IF(ABS(F49)&lt;=30,(ABS(F49)-Konstante!$A$25)*(Konstante!$B$26-Konstante!$B$25)/(Konstante!$A$26-Konstante!$A$25)+Konstante!$B$25,IF(ABS(F49)&lt;=45,(ABS(F49)-Konstante!$A$26)*(Konstante!$B$27-Konstante!$B$26)/(Konstante!$A$27-Konstante!$A$26)+Konstante!$B$26,IF(ABS(F49)&lt;=60,(ABS(F49)-Konstante!$A$27)*(Konstante!$B$28-Konstante!$B$27)/(Konstante!$A$28-Konstante!$A$27)+Konstante!$B$27,IF(ABS(F49)&lt;=90,(ABS(F49)-Konstante!$A$28)*(Konstante!$B$29-Konstante!$B$28)/(Konstante!$A$29-Konstante!$A$28)+Konstante!$B$28,IF(ABS(F49)&lt;=120,(ABS(F49)-Konstante!$A$30)*(Konstante!$B$30-Konstante!$B$29)/(Konstante!$A$30-Konstante!$A$29)+Konstante!$B$29,"Winkel zu groß"))))))</f>
        <v>0</v>
      </c>
      <c r="AK49" s="225" t="str">
        <f t="shared" si="28"/>
        <v>0</v>
      </c>
      <c r="AL49" s="225" t="str">
        <f t="shared" si="20"/>
        <v>0</v>
      </c>
    </row>
    <row r="50" spans="1:38" hidden="1" x14ac:dyDescent="0.25">
      <c r="A50" s="350" t="str">
        <f t="shared" si="0"/>
        <v/>
      </c>
      <c r="B50" s="71">
        <f t="shared" si="4"/>
        <v>22</v>
      </c>
      <c r="C50" s="188"/>
      <c r="D50" s="189"/>
      <c r="E50" s="189"/>
      <c r="F50" s="189"/>
      <c r="G50" s="186"/>
      <c r="H50" s="173">
        <f t="shared" si="5"/>
        <v>0</v>
      </c>
      <c r="I50" s="172" t="str">
        <f t="shared" si="6"/>
        <v/>
      </c>
      <c r="J50" s="170" t="str">
        <f t="shared" si="7"/>
        <v/>
      </c>
      <c r="K50" s="72" t="str">
        <f t="shared" si="21"/>
        <v/>
      </c>
      <c r="L50" s="73" t="str">
        <f t="shared" si="24"/>
        <v/>
      </c>
      <c r="M50" s="377" t="str">
        <f>IF(C50&gt;0,1/(1.14+2*LOG(Y50/Konstante!$D$32))^2,"")</f>
        <v/>
      </c>
      <c r="N50" s="324" t="str">
        <f t="shared" si="22"/>
        <v/>
      </c>
      <c r="O50" s="72" t="str">
        <f t="shared" si="8"/>
        <v/>
      </c>
      <c r="P50" s="402" t="str">
        <f t="shared" si="25"/>
        <v/>
      </c>
      <c r="Q50" s="74" t="str">
        <f t="shared" si="9"/>
        <v>Werte eingeben</v>
      </c>
      <c r="R50" s="38" t="str">
        <f t="shared" si="27"/>
        <v/>
      </c>
      <c r="S50" s="407" t="str">
        <f t="shared" si="26"/>
        <v/>
      </c>
      <c r="T50" s="225" t="str">
        <f t="shared" si="23"/>
        <v/>
      </c>
      <c r="U50" s="397" t="str">
        <f t="shared" si="1"/>
        <v/>
      </c>
      <c r="V50" s="386" t="str">
        <f t="shared" si="11"/>
        <v/>
      </c>
      <c r="W50" s="272" t="str">
        <f>IF(C50&gt;0,0.00273*$F$11*$V$16*V50,"")</f>
        <v/>
      </c>
      <c r="X50" s="395" t="str">
        <f t="shared" si="13"/>
        <v/>
      </c>
      <c r="Y50" s="387" t="str">
        <f t="shared" si="14"/>
        <v/>
      </c>
      <c r="Z50" s="382" t="str">
        <f t="shared" si="2"/>
        <v/>
      </c>
      <c r="AA50" s="382" t="str">
        <f t="shared" si="3"/>
        <v/>
      </c>
      <c r="AB50" s="383" t="str">
        <f t="shared" si="15"/>
        <v/>
      </c>
      <c r="AC50" s="383" t="str">
        <f t="shared" si="16"/>
        <v/>
      </c>
      <c r="AD50" s="383" t="str">
        <f t="shared" si="17"/>
        <v/>
      </c>
      <c r="AE50" s="272" t="str">
        <f>IF(C50&gt;0,(IF(ABS(AB50)&lt;=10,(ABS(AB50)-Konstante!$A$24)*(Konstante!$B$25-Konstante!$B$24)/(Konstante!$A$25-Konstante!$A$24)+Konstante!$B$24,IF(ABS(AB50)&lt;=30,(ABS(AB50)-Konstante!$A$25)*(Konstante!$B$26-Konstante!$B$25)/(Konstante!$A$26-Konstante!$A$25)+Konstante!$B$25,IF(ABS(AB50)&lt;=45,(ABS(AB50)-Konstante!$A$26)*(Konstante!$B$27-Konstante!$B$26)/(Konstante!$A$27-Konstante!$A$26)+Konstante!$B$26,IF(ABS(AB50)&lt;=60,(ABS(AB50)-Konstante!$A$27)*(Konstante!$B$28-Konstante!$B$27)/(Konstante!$A$28-Konstante!$A$27)+Konstante!$B$27,IF(ABS(AB50)&lt;=180,(ABS(AB50)-Konstante!$A$28)*(Konstante!$B$29-Konstante!$B$28)/(Konstante!$A$29-Konstante!$A$28)+Konstante!$B$28,"Winkel zu groß")))))),"")</f>
        <v/>
      </c>
      <c r="AF50" s="272" t="str">
        <f>IF(C50&gt;0,(IF(ABS(AC50)&lt;=10,(ABS(AC50)-Konstante!$A$24)*(Konstante!$B$25-Konstante!$B$24)/(Konstante!$A$25-Konstante!$A$24)+Konstante!$B$24,IF(ABS(AC50)&lt;=30,(ABS(AC50)-Konstante!$A$25)*(Konstante!$B$26-Konstante!$B$25)/(Konstante!$A$26-Konstante!$A$25)+Konstante!$B$25,IF(ABS(AC50)&lt;=45,(ABS(AC50)-Konstante!$A$26)*(Konstante!$B$27-Konstante!$B$26)/(Konstante!$A$27-Konstante!$A$26)+Konstante!$B$26,IF(ABS(AC50)&lt;=60,(ABS(AC50)-Konstante!$A$27)*(Konstante!$B$28-Konstante!$B$27)/(Konstante!$A$28-Konstante!$A$27)+Konstante!$B$27,IF(ABS(AC50)&lt;=180,(ABS(AC50)-Konstante!$A$28)*(Konstante!$B$29-Konstante!$B$28)/(Konstante!$A$29-Konstante!$A$28)+Konstante!$B$28,"Winkev zu groß")))))),"")</f>
        <v/>
      </c>
      <c r="AG50" s="272" t="str">
        <f>IF(C50&gt;0,(IF(ABS(AD50)&lt;=10,(ABS(AD50)-Konstante!$A$24)*(Konstante!$B$25-Konstante!$B$24)/(Konstante!$A$25-Konstante!$A$24)+Konstante!$B$24,IF(ABS(AD50)&lt;=30,(ABS(AD50)-Konstante!$A$25)*(Konstante!$B$26-Konstante!$B$25)/(Konstante!$A$26-Konstante!$A$25)+Konstante!$B$25,IF(ABS(AD50)&lt;=45,(ABS(AD50)-Konstante!$A$26)*(Konstante!$B$27-Konstante!$B$26)/(Konstante!$A$27-Konstante!$A$26)+Konstante!$B$26,IF(ABS(AD50)&lt;=60,(ABS(AD50)-Konstante!$A$27)*(Konstante!$B$28-Konstante!$B$27)/(Konstante!$A$28-Konstante!$A$27)+Konstante!$B$27,IF(ABS(AD50)&lt;=180,(ABS(AD50)-Konstante!$A$28)*(Konstante!$B$29-Konstante!$B$28)/(Konstante!$A$29-Konstante!$A$28)+Konstante!$B$28,"Winkel zu groß")))))),"")</f>
        <v/>
      </c>
      <c r="AH50" s="18"/>
      <c r="AI50" s="18" t="str">
        <f t="shared" si="18"/>
        <v>O.K.</v>
      </c>
      <c r="AJ50" s="225">
        <f>IF(ABS(F50)&lt;=10,(ABS(F50)-Konstante!$A$24)*(Konstante!$B$25-Konstante!$B$24)/(Konstante!$A$25-Konstante!$A$24)+Konstante!$B$24,IF(ABS(F50)&lt;=30,(ABS(F50)-Konstante!$A$25)*(Konstante!$B$26-Konstante!$B$25)/(Konstante!$A$26-Konstante!$A$25)+Konstante!$B$25,IF(ABS(F50)&lt;=45,(ABS(F50)-Konstante!$A$26)*(Konstante!$B$27-Konstante!$B$26)/(Konstante!$A$27-Konstante!$A$26)+Konstante!$B$26,IF(ABS(F50)&lt;=60,(ABS(F50)-Konstante!$A$27)*(Konstante!$B$28-Konstante!$B$27)/(Konstante!$A$28-Konstante!$A$27)+Konstante!$B$27,IF(ABS(F50)&lt;=90,(ABS(F50)-Konstante!$A$28)*(Konstante!$B$29-Konstante!$B$28)/(Konstante!$A$29-Konstante!$A$28)+Konstante!$B$28,IF(ABS(F50)&lt;=120,(ABS(F50)-Konstante!$A$30)*(Konstante!$B$30-Konstante!$B$29)/(Konstante!$A$30-Konstante!$A$29)+Konstante!$B$29,"Winkel zu groß"))))))</f>
        <v>0</v>
      </c>
      <c r="AK50" s="225" t="str">
        <f t="shared" si="28"/>
        <v>0</v>
      </c>
      <c r="AL50" s="225" t="str">
        <f t="shared" si="20"/>
        <v>0</v>
      </c>
    </row>
    <row r="51" spans="1:38" hidden="1" x14ac:dyDescent="0.25">
      <c r="A51" s="350" t="str">
        <f t="shared" si="0"/>
        <v/>
      </c>
      <c r="B51" s="71">
        <f t="shared" si="4"/>
        <v>23</v>
      </c>
      <c r="C51" s="188"/>
      <c r="D51" s="189"/>
      <c r="E51" s="189"/>
      <c r="F51" s="189"/>
      <c r="G51" s="186"/>
      <c r="H51" s="173">
        <f t="shared" si="5"/>
        <v>0</v>
      </c>
      <c r="I51" s="172" t="str">
        <f t="shared" si="6"/>
        <v/>
      </c>
      <c r="J51" s="170" t="str">
        <f t="shared" si="7"/>
        <v/>
      </c>
      <c r="K51" s="72" t="str">
        <f t="shared" si="21"/>
        <v/>
      </c>
      <c r="L51" s="73" t="str">
        <f t="shared" si="24"/>
        <v/>
      </c>
      <c r="M51" s="377" t="str">
        <f>IF(C51&gt;0,1/(1.14+2*LOG(Y51/Konstante!$D$32))^2,"")</f>
        <v/>
      </c>
      <c r="N51" s="324" t="str">
        <f t="shared" si="22"/>
        <v/>
      </c>
      <c r="O51" s="72" t="str">
        <f t="shared" si="8"/>
        <v/>
      </c>
      <c r="P51" s="402" t="str">
        <f t="shared" si="25"/>
        <v/>
      </c>
      <c r="Q51" s="74" t="str">
        <f t="shared" si="9"/>
        <v>Werte eingeben</v>
      </c>
      <c r="R51" s="38" t="str">
        <f t="shared" si="27"/>
        <v/>
      </c>
      <c r="S51" s="407" t="str">
        <f t="shared" si="26"/>
        <v/>
      </c>
      <c r="T51" s="225" t="str">
        <f t="shared" si="23"/>
        <v/>
      </c>
      <c r="U51" s="397" t="str">
        <f t="shared" si="1"/>
        <v/>
      </c>
      <c r="V51" s="386" t="str">
        <f t="shared" si="11"/>
        <v/>
      </c>
      <c r="W51" s="272" t="str">
        <f t="shared" si="12"/>
        <v/>
      </c>
      <c r="X51" s="395" t="str">
        <f t="shared" si="13"/>
        <v/>
      </c>
      <c r="Y51" s="387" t="str">
        <f t="shared" si="14"/>
        <v/>
      </c>
      <c r="Z51" s="382" t="str">
        <f t="shared" si="2"/>
        <v/>
      </c>
      <c r="AA51" s="382" t="str">
        <f t="shared" si="3"/>
        <v/>
      </c>
      <c r="AB51" s="383" t="str">
        <f t="shared" si="15"/>
        <v/>
      </c>
      <c r="AC51" s="383" t="str">
        <f t="shared" si="16"/>
        <v/>
      </c>
      <c r="AD51" s="383" t="str">
        <f t="shared" si="17"/>
        <v/>
      </c>
      <c r="AE51" s="272" t="str">
        <f>IF(C51&gt;0,(IF(ABS(AB51)&lt;=10,(ABS(AB51)-Konstante!$A$24)*(Konstante!$B$25-Konstante!$B$24)/(Konstante!$A$25-Konstante!$A$24)+Konstante!$B$24,IF(ABS(AB51)&lt;=30,(ABS(AB51)-Konstante!$A$25)*(Konstante!$B$26-Konstante!$B$25)/(Konstante!$A$26-Konstante!$A$25)+Konstante!$B$25,IF(ABS(AB51)&lt;=45,(ABS(AB51)-Konstante!$A$26)*(Konstante!$B$27-Konstante!$B$26)/(Konstante!$A$27-Konstante!$A$26)+Konstante!$B$26,IF(ABS(AB51)&lt;=60,(ABS(AB51)-Konstante!$A$27)*(Konstante!$B$28-Konstante!$B$27)/(Konstante!$A$28-Konstante!$A$27)+Konstante!$B$27,IF(ABS(AB51)&lt;=180,(ABS(AB51)-Konstante!$A$28)*(Konstante!$B$29-Konstante!$B$28)/(Konstante!$A$29-Konstante!$A$28)+Konstante!$B$28,"Winkel zu groß")))))),"")</f>
        <v/>
      </c>
      <c r="AF51" s="272" t="str">
        <f>IF(C51&gt;0,(IF(ABS(AC51)&lt;=10,(ABS(AC51)-Konstante!$A$24)*(Konstante!$B$25-Konstante!$B$24)/(Konstante!$A$25-Konstante!$A$24)+Konstante!$B$24,IF(ABS(AC51)&lt;=30,(ABS(AC51)-Konstante!$A$25)*(Konstante!$B$26-Konstante!$B$25)/(Konstante!$A$26-Konstante!$A$25)+Konstante!$B$25,IF(ABS(AC51)&lt;=45,(ABS(AC51)-Konstante!$A$26)*(Konstante!$B$27-Konstante!$B$26)/(Konstante!$A$27-Konstante!$A$26)+Konstante!$B$26,IF(ABS(AC51)&lt;=60,(ABS(AC51)-Konstante!$A$27)*(Konstante!$B$28-Konstante!$B$27)/(Konstante!$A$28-Konstante!$A$27)+Konstante!$B$27,IF(ABS(AC51)&lt;=180,(ABS(AC51)-Konstante!$A$28)*(Konstante!$B$29-Konstante!$B$28)/(Konstante!$A$29-Konstante!$A$28)+Konstante!$B$28,"Winkev zu groß")))))),"")</f>
        <v/>
      </c>
      <c r="AG51" s="272" t="str">
        <f>IF(C51&gt;0,(IF(ABS(AD51)&lt;=10,(ABS(AD51)-Konstante!$A$24)*(Konstante!$B$25-Konstante!$B$24)/(Konstante!$A$25-Konstante!$A$24)+Konstante!$B$24,IF(ABS(AD51)&lt;=30,(ABS(AD51)-Konstante!$A$25)*(Konstante!$B$26-Konstante!$B$25)/(Konstante!$A$26-Konstante!$A$25)+Konstante!$B$25,IF(ABS(AD51)&lt;=45,(ABS(AD51)-Konstante!$A$26)*(Konstante!$B$27-Konstante!$B$26)/(Konstante!$A$27-Konstante!$A$26)+Konstante!$B$26,IF(ABS(AD51)&lt;=60,(ABS(AD51)-Konstante!$A$27)*(Konstante!$B$28-Konstante!$B$27)/(Konstante!$A$28-Konstante!$A$27)+Konstante!$B$27,IF(ABS(AD51)&lt;=180,(ABS(AD51)-Konstante!$A$28)*(Konstante!$B$29-Konstante!$B$28)/(Konstante!$A$29-Konstante!$A$28)+Konstante!$B$28,"Winkel zu groß")))))),"")</f>
        <v/>
      </c>
      <c r="AH51" s="18"/>
      <c r="AI51" s="18" t="str">
        <f t="shared" si="18"/>
        <v>O.K.</v>
      </c>
      <c r="AJ51" s="225">
        <f>IF(ABS(F51)&lt;=10,(ABS(F51)-Konstante!$A$24)*(Konstante!$B$25-Konstante!$B$24)/(Konstante!$A$25-Konstante!$A$24)+Konstante!$B$24,IF(ABS(F51)&lt;=30,(ABS(F51)-Konstante!$A$25)*(Konstante!$B$26-Konstante!$B$25)/(Konstante!$A$26-Konstante!$A$25)+Konstante!$B$25,IF(ABS(F51)&lt;=45,(ABS(F51)-Konstante!$A$26)*(Konstante!$B$27-Konstante!$B$26)/(Konstante!$A$27-Konstante!$A$26)+Konstante!$B$26,IF(ABS(F51)&lt;=60,(ABS(F51)-Konstante!$A$27)*(Konstante!$B$28-Konstante!$B$27)/(Konstante!$A$28-Konstante!$A$27)+Konstante!$B$27,IF(ABS(F51)&lt;=90,(ABS(F51)-Konstante!$A$28)*(Konstante!$B$29-Konstante!$B$28)/(Konstante!$A$29-Konstante!$A$28)+Konstante!$B$28,IF(ABS(F51)&lt;=120,(ABS(F51)-Konstante!$A$30)*(Konstante!$B$30-Konstante!$B$29)/(Konstante!$A$30-Konstante!$A$29)+Konstante!$B$29,"Winkel zu groß"))))))</f>
        <v>0</v>
      </c>
      <c r="AK51" s="225" t="str">
        <f t="shared" si="28"/>
        <v>0</v>
      </c>
      <c r="AL51" s="225" t="str">
        <f t="shared" si="20"/>
        <v>0</v>
      </c>
    </row>
    <row r="52" spans="1:38" hidden="1" x14ac:dyDescent="0.25">
      <c r="A52" s="350" t="str">
        <f t="shared" si="0"/>
        <v/>
      </c>
      <c r="B52" s="71">
        <f t="shared" si="4"/>
        <v>24</v>
      </c>
      <c r="C52" s="188"/>
      <c r="D52" s="189"/>
      <c r="E52" s="189"/>
      <c r="F52" s="189"/>
      <c r="G52" s="186"/>
      <c r="H52" s="173">
        <f t="shared" si="5"/>
        <v>0</v>
      </c>
      <c r="I52" s="172" t="str">
        <f t="shared" si="6"/>
        <v/>
      </c>
      <c r="J52" s="170" t="str">
        <f t="shared" si="7"/>
        <v/>
      </c>
      <c r="K52" s="72" t="str">
        <f t="shared" si="21"/>
        <v/>
      </c>
      <c r="L52" s="73" t="str">
        <f t="shared" si="24"/>
        <v/>
      </c>
      <c r="M52" s="377" t="str">
        <f>IF(C52&gt;0,1/(1.14+2*LOG(Y52/Konstante!$D$32))^2,"")</f>
        <v/>
      </c>
      <c r="N52" s="324" t="str">
        <f t="shared" si="22"/>
        <v/>
      </c>
      <c r="O52" s="72" t="str">
        <f t="shared" si="8"/>
        <v/>
      </c>
      <c r="P52" s="402" t="str">
        <f t="shared" si="25"/>
        <v/>
      </c>
      <c r="Q52" s="74" t="str">
        <f t="shared" si="9"/>
        <v>Werte eingeben</v>
      </c>
      <c r="R52" s="38" t="str">
        <f t="shared" si="27"/>
        <v/>
      </c>
      <c r="S52" s="407" t="str">
        <f t="shared" si="26"/>
        <v/>
      </c>
      <c r="T52" s="225" t="str">
        <f t="shared" si="23"/>
        <v/>
      </c>
      <c r="U52" s="397" t="str">
        <f t="shared" si="1"/>
        <v/>
      </c>
      <c r="V52" s="386" t="str">
        <f t="shared" si="11"/>
        <v/>
      </c>
      <c r="W52" s="272" t="str">
        <f t="shared" si="12"/>
        <v/>
      </c>
      <c r="X52" s="395" t="str">
        <f t="shared" si="13"/>
        <v/>
      </c>
      <c r="Y52" s="387" t="str">
        <f t="shared" si="14"/>
        <v/>
      </c>
      <c r="Z52" s="382" t="str">
        <f t="shared" si="2"/>
        <v/>
      </c>
      <c r="AA52" s="382" t="str">
        <f t="shared" si="3"/>
        <v/>
      </c>
      <c r="AB52" s="383" t="str">
        <f t="shared" si="15"/>
        <v/>
      </c>
      <c r="AC52" s="383" t="str">
        <f t="shared" si="16"/>
        <v/>
      </c>
      <c r="AD52" s="383" t="str">
        <f t="shared" si="17"/>
        <v/>
      </c>
      <c r="AE52" s="272" t="str">
        <f>IF(C52&gt;0,(IF(ABS(AB52)&lt;=10,(ABS(AB52)-Konstante!$A$24)*(Konstante!$B$25-Konstante!$B$24)/(Konstante!$A$25-Konstante!$A$24)+Konstante!$B$24,IF(ABS(AB52)&lt;=30,(ABS(AB52)-Konstante!$A$25)*(Konstante!$B$26-Konstante!$B$25)/(Konstante!$A$26-Konstante!$A$25)+Konstante!$B$25,IF(ABS(AB52)&lt;=45,(ABS(AB52)-Konstante!$A$26)*(Konstante!$B$27-Konstante!$B$26)/(Konstante!$A$27-Konstante!$A$26)+Konstante!$B$26,IF(ABS(AB52)&lt;=60,(ABS(AB52)-Konstante!$A$27)*(Konstante!$B$28-Konstante!$B$27)/(Konstante!$A$28-Konstante!$A$27)+Konstante!$B$27,IF(ABS(AB52)&lt;=180,(ABS(AB52)-Konstante!$A$28)*(Konstante!$B$29-Konstante!$B$28)/(Konstante!$A$29-Konstante!$A$28)+Konstante!$B$28,"Winkel zu groß")))))),"")</f>
        <v/>
      </c>
      <c r="AF52" s="272" t="str">
        <f>IF(C52&gt;0,(IF(ABS(AC52)&lt;=10,(ABS(AC52)-Konstante!$A$24)*(Konstante!$B$25-Konstante!$B$24)/(Konstante!$A$25-Konstante!$A$24)+Konstante!$B$24,IF(ABS(AC52)&lt;=30,(ABS(AC52)-Konstante!$A$25)*(Konstante!$B$26-Konstante!$B$25)/(Konstante!$A$26-Konstante!$A$25)+Konstante!$B$25,IF(ABS(AC52)&lt;=45,(ABS(AC52)-Konstante!$A$26)*(Konstante!$B$27-Konstante!$B$26)/(Konstante!$A$27-Konstante!$A$26)+Konstante!$B$26,IF(ABS(AC52)&lt;=60,(ABS(AC52)-Konstante!$A$27)*(Konstante!$B$28-Konstante!$B$27)/(Konstante!$A$28-Konstante!$A$27)+Konstante!$B$27,IF(ABS(AC52)&lt;=180,(ABS(AC52)-Konstante!$A$28)*(Konstante!$B$29-Konstante!$B$28)/(Konstante!$A$29-Konstante!$A$28)+Konstante!$B$28,"Winkev zu groß")))))),"")</f>
        <v/>
      </c>
      <c r="AG52" s="272" t="str">
        <f>IF(C52&gt;0,(IF(ABS(AD52)&lt;=10,(ABS(AD52)-Konstante!$A$24)*(Konstante!$B$25-Konstante!$B$24)/(Konstante!$A$25-Konstante!$A$24)+Konstante!$B$24,IF(ABS(AD52)&lt;=30,(ABS(AD52)-Konstante!$A$25)*(Konstante!$B$26-Konstante!$B$25)/(Konstante!$A$26-Konstante!$A$25)+Konstante!$B$25,IF(ABS(AD52)&lt;=45,(ABS(AD52)-Konstante!$A$26)*(Konstante!$B$27-Konstante!$B$26)/(Konstante!$A$27-Konstante!$A$26)+Konstante!$B$26,IF(ABS(AD52)&lt;=60,(ABS(AD52)-Konstante!$A$27)*(Konstante!$B$28-Konstante!$B$27)/(Konstante!$A$28-Konstante!$A$27)+Konstante!$B$27,IF(ABS(AD52)&lt;=180,(ABS(AD52)-Konstante!$A$28)*(Konstante!$B$29-Konstante!$B$28)/(Konstante!$A$29-Konstante!$A$28)+Konstante!$B$28,"Winkel zu groß")))))),"")</f>
        <v/>
      </c>
      <c r="AH52" s="18"/>
      <c r="AI52" s="18" t="str">
        <f t="shared" si="18"/>
        <v>O.K.</v>
      </c>
      <c r="AJ52" s="225">
        <f>IF(ABS(F52)&lt;=10,(ABS(F52)-Konstante!$A$24)*(Konstante!$B$25-Konstante!$B$24)/(Konstante!$A$25-Konstante!$A$24)+Konstante!$B$24,IF(ABS(F52)&lt;=30,(ABS(F52)-Konstante!$A$25)*(Konstante!$B$26-Konstante!$B$25)/(Konstante!$A$26-Konstante!$A$25)+Konstante!$B$25,IF(ABS(F52)&lt;=45,(ABS(F52)-Konstante!$A$26)*(Konstante!$B$27-Konstante!$B$26)/(Konstante!$A$27-Konstante!$A$26)+Konstante!$B$26,IF(ABS(F52)&lt;=60,(ABS(F52)-Konstante!$A$27)*(Konstante!$B$28-Konstante!$B$27)/(Konstante!$A$28-Konstante!$A$27)+Konstante!$B$27,IF(ABS(F52)&lt;=90,(ABS(F52)-Konstante!$A$28)*(Konstante!$B$29-Konstante!$B$28)/(Konstante!$A$29-Konstante!$A$28)+Konstante!$B$28,IF(ABS(F52)&lt;=120,(ABS(F52)-Konstante!$A$30)*(Konstante!$B$30-Konstante!$B$29)/(Konstante!$A$30-Konstante!$A$29)+Konstante!$B$29,"Winkel zu groß"))))))</f>
        <v>0</v>
      </c>
      <c r="AK52" s="225" t="str">
        <f t="shared" si="28"/>
        <v>0</v>
      </c>
      <c r="AL52" s="225" t="str">
        <f t="shared" si="20"/>
        <v>0</v>
      </c>
    </row>
    <row r="53" spans="1:38" hidden="1" x14ac:dyDescent="0.25">
      <c r="A53" s="350" t="str">
        <f t="shared" si="0"/>
        <v/>
      </c>
      <c r="B53" s="71">
        <f t="shared" si="4"/>
        <v>25</v>
      </c>
      <c r="C53" s="188"/>
      <c r="D53" s="189"/>
      <c r="E53" s="189"/>
      <c r="F53" s="189"/>
      <c r="G53" s="186"/>
      <c r="H53" s="173">
        <f t="shared" si="5"/>
        <v>0</v>
      </c>
      <c r="I53" s="172" t="str">
        <f t="shared" si="6"/>
        <v/>
      </c>
      <c r="J53" s="170" t="str">
        <f t="shared" si="7"/>
        <v/>
      </c>
      <c r="K53" s="72" t="str">
        <f t="shared" si="21"/>
        <v/>
      </c>
      <c r="L53" s="73" t="str">
        <f t="shared" si="24"/>
        <v/>
      </c>
      <c r="M53" s="377" t="str">
        <f>IF(C53&gt;0,1/(1.14+2*LOG(Y53/Konstante!$D$32))^2,"")</f>
        <v/>
      </c>
      <c r="N53" s="324" t="str">
        <f t="shared" si="22"/>
        <v/>
      </c>
      <c r="O53" s="72" t="str">
        <f t="shared" si="8"/>
        <v/>
      </c>
      <c r="P53" s="402" t="str">
        <f t="shared" si="25"/>
        <v/>
      </c>
      <c r="Q53" s="74" t="str">
        <f t="shared" si="9"/>
        <v>Werte eingeben</v>
      </c>
      <c r="R53" s="38" t="str">
        <f t="shared" si="27"/>
        <v/>
      </c>
      <c r="S53" s="407" t="str">
        <f t="shared" si="26"/>
        <v/>
      </c>
      <c r="T53" s="225" t="str">
        <f t="shared" si="23"/>
        <v/>
      </c>
      <c r="U53" s="397" t="str">
        <f t="shared" si="1"/>
        <v/>
      </c>
      <c r="V53" s="386" t="str">
        <f t="shared" si="11"/>
        <v/>
      </c>
      <c r="W53" s="272" t="str">
        <f>IF(C53&gt;0,0.00273*$F$11*$V$16*V53,"")</f>
        <v/>
      </c>
      <c r="X53" s="395" t="str">
        <f t="shared" si="13"/>
        <v/>
      </c>
      <c r="Y53" s="387" t="str">
        <f t="shared" si="14"/>
        <v/>
      </c>
      <c r="Z53" s="382" t="str">
        <f t="shared" si="2"/>
        <v/>
      </c>
      <c r="AA53" s="382" t="str">
        <f t="shared" si="3"/>
        <v/>
      </c>
      <c r="AB53" s="383" t="str">
        <f t="shared" si="15"/>
        <v/>
      </c>
      <c r="AC53" s="383" t="str">
        <f t="shared" si="16"/>
        <v/>
      </c>
      <c r="AD53" s="383" t="str">
        <f t="shared" si="17"/>
        <v/>
      </c>
      <c r="AE53" s="272" t="str">
        <f>IF(C53&gt;0,(IF(ABS(AB53)&lt;=10,(ABS(AB53)-Konstante!$A$24)*(Konstante!$B$25-Konstante!$B$24)/(Konstante!$A$25-Konstante!$A$24)+Konstante!$B$24,IF(ABS(AB53)&lt;=30,(ABS(AB53)-Konstante!$A$25)*(Konstante!$B$26-Konstante!$B$25)/(Konstante!$A$26-Konstante!$A$25)+Konstante!$B$25,IF(ABS(AB53)&lt;=45,(ABS(AB53)-Konstante!$A$26)*(Konstante!$B$27-Konstante!$B$26)/(Konstante!$A$27-Konstante!$A$26)+Konstante!$B$26,IF(ABS(AB53)&lt;=60,(ABS(AB53)-Konstante!$A$27)*(Konstante!$B$28-Konstante!$B$27)/(Konstante!$A$28-Konstante!$A$27)+Konstante!$B$27,IF(ABS(AB53)&lt;=180,(ABS(AB53)-Konstante!$A$28)*(Konstante!$B$29-Konstante!$B$28)/(Konstante!$A$29-Konstante!$A$28)+Konstante!$B$28,"Winkel zu groß")))))),"")</f>
        <v/>
      </c>
      <c r="AF53" s="272" t="str">
        <f>IF(C53&gt;0,(IF(ABS(AC53)&lt;=10,(ABS(AC53)-Konstante!$A$24)*(Konstante!$B$25-Konstante!$B$24)/(Konstante!$A$25-Konstante!$A$24)+Konstante!$B$24,IF(ABS(AC53)&lt;=30,(ABS(AC53)-Konstante!$A$25)*(Konstante!$B$26-Konstante!$B$25)/(Konstante!$A$26-Konstante!$A$25)+Konstante!$B$25,IF(ABS(AC53)&lt;=45,(ABS(AC53)-Konstante!$A$26)*(Konstante!$B$27-Konstante!$B$26)/(Konstante!$A$27-Konstante!$A$26)+Konstante!$B$26,IF(ABS(AC53)&lt;=60,(ABS(AC53)-Konstante!$A$27)*(Konstante!$B$28-Konstante!$B$27)/(Konstante!$A$28-Konstante!$A$27)+Konstante!$B$27,IF(ABS(AC53)&lt;=180,(ABS(AC53)-Konstante!$A$28)*(Konstante!$B$29-Konstante!$B$28)/(Konstante!$A$29-Konstante!$A$28)+Konstante!$B$28,"Winkev zu groß")))))),"")</f>
        <v/>
      </c>
      <c r="AG53" s="272" t="str">
        <f>IF(C53&gt;0,(IF(ABS(AD53)&lt;=10,(ABS(AD53)-Konstante!$A$24)*(Konstante!$B$25-Konstante!$B$24)/(Konstante!$A$25-Konstante!$A$24)+Konstante!$B$24,IF(ABS(AD53)&lt;=30,(ABS(AD53)-Konstante!$A$25)*(Konstante!$B$26-Konstante!$B$25)/(Konstante!$A$26-Konstante!$A$25)+Konstante!$B$25,IF(ABS(AD53)&lt;=45,(ABS(AD53)-Konstante!$A$26)*(Konstante!$B$27-Konstante!$B$26)/(Konstante!$A$27-Konstante!$A$26)+Konstante!$B$26,IF(ABS(AD53)&lt;=60,(ABS(AD53)-Konstante!$A$27)*(Konstante!$B$28-Konstante!$B$27)/(Konstante!$A$28-Konstante!$A$27)+Konstante!$B$27,IF(ABS(AD53)&lt;=180,(ABS(AD53)-Konstante!$A$28)*(Konstante!$B$29-Konstante!$B$28)/(Konstante!$A$29-Konstante!$A$28)+Konstante!$B$28,"Winkel zu groß")))))),"")</f>
        <v/>
      </c>
      <c r="AH53" s="18"/>
      <c r="AI53" s="18" t="str">
        <f t="shared" si="18"/>
        <v>O.K.</v>
      </c>
      <c r="AJ53" s="225">
        <f>IF(ABS(F53)&lt;=10,(ABS(F53)-Konstante!$A$24)*(Konstante!$B$25-Konstante!$B$24)/(Konstante!$A$25-Konstante!$A$24)+Konstante!$B$24,IF(ABS(F53)&lt;=30,(ABS(F53)-Konstante!$A$25)*(Konstante!$B$26-Konstante!$B$25)/(Konstante!$A$26-Konstante!$A$25)+Konstante!$B$25,IF(ABS(F53)&lt;=45,(ABS(F53)-Konstante!$A$26)*(Konstante!$B$27-Konstante!$B$26)/(Konstante!$A$27-Konstante!$A$26)+Konstante!$B$26,IF(ABS(F53)&lt;=60,(ABS(F53)-Konstante!$A$27)*(Konstante!$B$28-Konstante!$B$27)/(Konstante!$A$28-Konstante!$A$27)+Konstante!$B$27,IF(ABS(F53)&lt;=90,(ABS(F53)-Konstante!$A$28)*(Konstante!$B$29-Konstante!$B$28)/(Konstante!$A$29-Konstante!$A$28)+Konstante!$B$28,IF(ABS(F53)&lt;=120,(ABS(F53)-Konstante!$A$30)*(Konstante!$B$30-Konstante!$B$29)/(Konstante!$A$30-Konstante!$A$29)+Konstante!$B$29,"Winkel zu groß"))))))</f>
        <v>0</v>
      </c>
      <c r="AK53" s="225" t="str">
        <f t="shared" si="28"/>
        <v>0</v>
      </c>
      <c r="AL53" s="225" t="str">
        <f t="shared" si="20"/>
        <v>0</v>
      </c>
    </row>
    <row r="54" spans="1:38" ht="13.5" hidden="1" customHeight="1" x14ac:dyDescent="0.25">
      <c r="A54" s="350" t="str">
        <f t="shared" si="0"/>
        <v/>
      </c>
      <c r="B54" s="71">
        <f t="shared" si="4"/>
        <v>26</v>
      </c>
      <c r="C54" s="188"/>
      <c r="D54" s="189"/>
      <c r="E54" s="189"/>
      <c r="F54" s="189"/>
      <c r="G54" s="186"/>
      <c r="H54" s="173">
        <f t="shared" si="5"/>
        <v>0</v>
      </c>
      <c r="I54" s="172" t="str">
        <f t="shared" si="6"/>
        <v/>
      </c>
      <c r="J54" s="170" t="str">
        <f t="shared" si="7"/>
        <v/>
      </c>
      <c r="K54" s="72" t="str">
        <f t="shared" si="21"/>
        <v/>
      </c>
      <c r="L54" s="73" t="str">
        <f t="shared" si="24"/>
        <v/>
      </c>
      <c r="M54" s="377" t="str">
        <f>IF(C54&gt;0,1/(1.14+2*LOG(Y54/Konstante!$D$32))^2,"")</f>
        <v/>
      </c>
      <c r="N54" s="324" t="str">
        <f t="shared" si="22"/>
        <v/>
      </c>
      <c r="O54" s="72" t="str">
        <f t="shared" si="8"/>
        <v/>
      </c>
      <c r="P54" s="402" t="str">
        <f t="shared" si="25"/>
        <v/>
      </c>
      <c r="Q54" s="74" t="str">
        <f t="shared" si="9"/>
        <v>Werte eingeben</v>
      </c>
      <c r="R54" s="38" t="str">
        <f t="shared" si="27"/>
        <v/>
      </c>
      <c r="S54" s="407" t="str">
        <f t="shared" si="26"/>
        <v/>
      </c>
      <c r="T54" s="225" t="str">
        <f t="shared" si="23"/>
        <v/>
      </c>
      <c r="U54" s="397" t="str">
        <f t="shared" si="1"/>
        <v/>
      </c>
      <c r="V54" s="386" t="str">
        <f t="shared" si="11"/>
        <v/>
      </c>
      <c r="W54" s="272" t="str">
        <f>IF(C54&gt;0,0.00273*$F$11*$V$16*V54,"")</f>
        <v/>
      </c>
      <c r="X54" s="395" t="str">
        <f t="shared" si="13"/>
        <v/>
      </c>
      <c r="Y54" s="387" t="str">
        <f t="shared" si="14"/>
        <v/>
      </c>
      <c r="Z54" s="382" t="str">
        <f t="shared" si="2"/>
        <v/>
      </c>
      <c r="AA54" s="382" t="str">
        <f t="shared" si="3"/>
        <v/>
      </c>
      <c r="AB54" s="383" t="str">
        <f t="shared" si="15"/>
        <v/>
      </c>
      <c r="AC54" s="383" t="str">
        <f t="shared" si="16"/>
        <v/>
      </c>
      <c r="AD54" s="383" t="str">
        <f t="shared" si="17"/>
        <v/>
      </c>
      <c r="AE54" s="272" t="str">
        <f>IF(C54&gt;0,(IF(ABS(AB54)&lt;=10,(ABS(AB54)-Konstante!$A$24)*(Konstante!$B$25-Konstante!$B$24)/(Konstante!$A$25-Konstante!$A$24)+Konstante!$B$24,IF(ABS(AB54)&lt;=30,(ABS(AB54)-Konstante!$A$25)*(Konstante!$B$26-Konstante!$B$25)/(Konstante!$A$26-Konstante!$A$25)+Konstante!$B$25,IF(ABS(AB54)&lt;=45,(ABS(AB54)-Konstante!$A$26)*(Konstante!$B$27-Konstante!$B$26)/(Konstante!$A$27-Konstante!$A$26)+Konstante!$B$26,IF(ABS(AB54)&lt;=60,(ABS(AB54)-Konstante!$A$27)*(Konstante!$B$28-Konstante!$B$27)/(Konstante!$A$28-Konstante!$A$27)+Konstante!$B$27,IF(ABS(AB54)&lt;=180,(ABS(AB54)-Konstante!$A$28)*(Konstante!$B$29-Konstante!$B$28)/(Konstante!$A$29-Konstante!$A$28)+Konstante!$B$28,"Winkel zu groß")))))),"")</f>
        <v/>
      </c>
      <c r="AF54" s="272" t="str">
        <f>IF(C54&gt;0,(IF(ABS(AC54)&lt;=10,(ABS(AC54)-Konstante!$A$24)*(Konstante!$B$25-Konstante!$B$24)/(Konstante!$A$25-Konstante!$A$24)+Konstante!$B$24,IF(ABS(AC54)&lt;=30,(ABS(AC54)-Konstante!$A$25)*(Konstante!$B$26-Konstante!$B$25)/(Konstante!$A$26-Konstante!$A$25)+Konstante!$B$25,IF(ABS(AC54)&lt;=45,(ABS(AC54)-Konstante!$A$26)*(Konstante!$B$27-Konstante!$B$26)/(Konstante!$A$27-Konstante!$A$26)+Konstante!$B$26,IF(ABS(AC54)&lt;=60,(ABS(AC54)-Konstante!$A$27)*(Konstante!$B$28-Konstante!$B$27)/(Konstante!$A$28-Konstante!$A$27)+Konstante!$B$27,IF(ABS(AC54)&lt;=180,(ABS(AC54)-Konstante!$A$28)*(Konstante!$B$29-Konstante!$B$28)/(Konstante!$A$29-Konstante!$A$28)+Konstante!$B$28,"Winkev zu groß")))))),"")</f>
        <v/>
      </c>
      <c r="AG54" s="272" t="str">
        <f>IF(C54&gt;0,(IF(ABS(AD54)&lt;=10,(ABS(AD54)-Konstante!$A$24)*(Konstante!$B$25-Konstante!$B$24)/(Konstante!$A$25-Konstante!$A$24)+Konstante!$B$24,IF(ABS(AD54)&lt;=30,(ABS(AD54)-Konstante!$A$25)*(Konstante!$B$26-Konstante!$B$25)/(Konstante!$A$26-Konstante!$A$25)+Konstante!$B$25,IF(ABS(AD54)&lt;=45,(ABS(AD54)-Konstante!$A$26)*(Konstante!$B$27-Konstante!$B$26)/(Konstante!$A$27-Konstante!$A$26)+Konstante!$B$26,IF(ABS(AD54)&lt;=60,(ABS(AD54)-Konstante!$A$27)*(Konstante!$B$28-Konstante!$B$27)/(Konstante!$A$28-Konstante!$A$27)+Konstante!$B$27,IF(ABS(AD54)&lt;=180,(ABS(AD54)-Konstante!$A$28)*(Konstante!$B$29-Konstante!$B$28)/(Konstante!$A$29-Konstante!$A$28)+Konstante!$B$28,"Winkel zu groß")))))),"")</f>
        <v/>
      </c>
      <c r="AH54" s="18"/>
      <c r="AI54" s="18" t="str">
        <f t="shared" si="18"/>
        <v>O.K.</v>
      </c>
      <c r="AJ54" s="225">
        <f>IF(ABS(F54)&lt;=10,(ABS(F54)-Konstante!$A$24)*(Konstante!$B$25-Konstante!$B$24)/(Konstante!$A$25-Konstante!$A$24)+Konstante!$B$24,IF(ABS(F54)&lt;=30,(ABS(F54)-Konstante!$A$25)*(Konstante!$B$26-Konstante!$B$25)/(Konstante!$A$26-Konstante!$A$25)+Konstante!$B$25,IF(ABS(F54)&lt;=45,(ABS(F54)-Konstante!$A$26)*(Konstante!$B$27-Konstante!$B$26)/(Konstante!$A$27-Konstante!$A$26)+Konstante!$B$26,IF(ABS(F54)&lt;=60,(ABS(F54)-Konstante!$A$27)*(Konstante!$B$28-Konstante!$B$27)/(Konstante!$A$28-Konstante!$A$27)+Konstante!$B$27,IF(ABS(F54)&lt;=90,(ABS(F54)-Konstante!$A$28)*(Konstante!$B$29-Konstante!$B$28)/(Konstante!$A$29-Konstante!$A$28)+Konstante!$B$28,IF(ABS(F54)&lt;=120,(ABS(F54)-Konstante!$A$30)*(Konstante!$B$30-Konstante!$B$29)/(Konstante!$A$30-Konstante!$A$29)+Konstante!$B$29,"Winkel zu groß"))))))</f>
        <v>0</v>
      </c>
      <c r="AK54" s="225" t="str">
        <f t="shared" si="28"/>
        <v>0</v>
      </c>
      <c r="AL54" s="225" t="str">
        <f t="shared" si="20"/>
        <v>0</v>
      </c>
    </row>
    <row r="55" spans="1:38" hidden="1" x14ac:dyDescent="0.25">
      <c r="A55" s="350" t="str">
        <f t="shared" si="0"/>
        <v/>
      </c>
      <c r="B55" s="71">
        <f t="shared" si="4"/>
        <v>27</v>
      </c>
      <c r="C55" s="188"/>
      <c r="D55" s="189"/>
      <c r="E55" s="189"/>
      <c r="F55" s="189"/>
      <c r="G55" s="186"/>
      <c r="H55" s="173">
        <f t="shared" si="5"/>
        <v>0</v>
      </c>
      <c r="I55" s="172" t="str">
        <f t="shared" si="6"/>
        <v/>
      </c>
      <c r="J55" s="170" t="str">
        <f t="shared" si="7"/>
        <v/>
      </c>
      <c r="K55" s="72" t="str">
        <f t="shared" si="21"/>
        <v/>
      </c>
      <c r="L55" s="73" t="str">
        <f t="shared" si="24"/>
        <v/>
      </c>
      <c r="M55" s="377" t="str">
        <f>IF(C55&gt;0,1/(1.14+2*LOG(Y55/Konstante!$D$32))^2,"")</f>
        <v/>
      </c>
      <c r="N55" s="324" t="str">
        <f t="shared" si="22"/>
        <v/>
      </c>
      <c r="O55" s="72" t="str">
        <f t="shared" si="8"/>
        <v/>
      </c>
      <c r="P55" s="402" t="str">
        <f t="shared" si="25"/>
        <v/>
      </c>
      <c r="Q55" s="74" t="str">
        <f t="shared" si="9"/>
        <v>Werte eingeben</v>
      </c>
      <c r="R55" s="38" t="str">
        <f t="shared" si="27"/>
        <v/>
      </c>
      <c r="S55" s="407" t="str">
        <f t="shared" si="26"/>
        <v/>
      </c>
      <c r="T55" s="225" t="str">
        <f t="shared" si="23"/>
        <v/>
      </c>
      <c r="U55" s="397" t="str">
        <f t="shared" si="1"/>
        <v/>
      </c>
      <c r="V55" s="386" t="str">
        <f t="shared" si="11"/>
        <v/>
      </c>
      <c r="W55" s="272" t="str">
        <f t="shared" si="12"/>
        <v/>
      </c>
      <c r="X55" s="395" t="str">
        <f t="shared" si="13"/>
        <v/>
      </c>
      <c r="Y55" s="387" t="str">
        <f t="shared" si="14"/>
        <v/>
      </c>
      <c r="Z55" s="382" t="str">
        <f t="shared" si="2"/>
        <v/>
      </c>
      <c r="AA55" s="382" t="str">
        <f t="shared" si="3"/>
        <v/>
      </c>
      <c r="AB55" s="383" t="str">
        <f t="shared" si="15"/>
        <v/>
      </c>
      <c r="AC55" s="383" t="str">
        <f t="shared" si="16"/>
        <v/>
      </c>
      <c r="AD55" s="383" t="str">
        <f t="shared" si="17"/>
        <v/>
      </c>
      <c r="AE55" s="272" t="str">
        <f>IF(C55&gt;0,(IF(ABS(AB55)&lt;=10,(ABS(AB55)-Konstante!$A$24)*(Konstante!$B$25-Konstante!$B$24)/(Konstante!$A$25-Konstante!$A$24)+Konstante!$B$24,IF(ABS(AB55)&lt;=30,(ABS(AB55)-Konstante!$A$25)*(Konstante!$B$26-Konstante!$B$25)/(Konstante!$A$26-Konstante!$A$25)+Konstante!$B$25,IF(ABS(AB55)&lt;=45,(ABS(AB55)-Konstante!$A$26)*(Konstante!$B$27-Konstante!$B$26)/(Konstante!$A$27-Konstante!$A$26)+Konstante!$B$26,IF(ABS(AB55)&lt;=60,(ABS(AB55)-Konstante!$A$27)*(Konstante!$B$28-Konstante!$B$27)/(Konstante!$A$28-Konstante!$A$27)+Konstante!$B$27,IF(ABS(AB55)&lt;=180,(ABS(AB55)-Konstante!$A$28)*(Konstante!$B$29-Konstante!$B$28)/(Konstante!$A$29-Konstante!$A$28)+Konstante!$B$28,"Winkel zu groß")))))),"")</f>
        <v/>
      </c>
      <c r="AF55" s="272" t="str">
        <f>IF(C55&gt;0,(IF(ABS(AC55)&lt;=10,(ABS(AC55)-Konstante!$A$24)*(Konstante!$B$25-Konstante!$B$24)/(Konstante!$A$25-Konstante!$A$24)+Konstante!$B$24,IF(ABS(AC55)&lt;=30,(ABS(AC55)-Konstante!$A$25)*(Konstante!$B$26-Konstante!$B$25)/(Konstante!$A$26-Konstante!$A$25)+Konstante!$B$25,IF(ABS(AC55)&lt;=45,(ABS(AC55)-Konstante!$A$26)*(Konstante!$B$27-Konstante!$B$26)/(Konstante!$A$27-Konstante!$A$26)+Konstante!$B$26,IF(ABS(AC55)&lt;=60,(ABS(AC55)-Konstante!$A$27)*(Konstante!$B$28-Konstante!$B$27)/(Konstante!$A$28-Konstante!$A$27)+Konstante!$B$27,IF(ABS(AC55)&lt;=180,(ABS(AC55)-Konstante!$A$28)*(Konstante!$B$29-Konstante!$B$28)/(Konstante!$A$29-Konstante!$A$28)+Konstante!$B$28,"Winkev zu groß")))))),"")</f>
        <v/>
      </c>
      <c r="AG55" s="272" t="str">
        <f>IF(C55&gt;0,(IF(ABS(AD55)&lt;=10,(ABS(AD55)-Konstante!$A$24)*(Konstante!$B$25-Konstante!$B$24)/(Konstante!$A$25-Konstante!$A$24)+Konstante!$B$24,IF(ABS(AD55)&lt;=30,(ABS(AD55)-Konstante!$A$25)*(Konstante!$B$26-Konstante!$B$25)/(Konstante!$A$26-Konstante!$A$25)+Konstante!$B$25,IF(ABS(AD55)&lt;=45,(ABS(AD55)-Konstante!$A$26)*(Konstante!$B$27-Konstante!$B$26)/(Konstante!$A$27-Konstante!$A$26)+Konstante!$B$26,IF(ABS(AD55)&lt;=60,(ABS(AD55)-Konstante!$A$27)*(Konstante!$B$28-Konstante!$B$27)/(Konstante!$A$28-Konstante!$A$27)+Konstante!$B$27,IF(ABS(AD55)&lt;=180,(ABS(AD55)-Konstante!$A$28)*(Konstante!$B$29-Konstante!$B$28)/(Konstante!$A$29-Konstante!$A$28)+Konstante!$B$28,"Winkel zu groß")))))),"")</f>
        <v/>
      </c>
      <c r="AH55" s="18"/>
      <c r="AI55" s="18" t="str">
        <f t="shared" si="18"/>
        <v>O.K.</v>
      </c>
      <c r="AJ55" s="225">
        <f>IF(ABS(F55)&lt;=10,(ABS(F55)-Konstante!$A$24)*(Konstante!$B$25-Konstante!$B$24)/(Konstante!$A$25-Konstante!$A$24)+Konstante!$B$24,IF(ABS(F55)&lt;=30,(ABS(F55)-Konstante!$A$25)*(Konstante!$B$26-Konstante!$B$25)/(Konstante!$A$26-Konstante!$A$25)+Konstante!$B$25,IF(ABS(F55)&lt;=45,(ABS(F55)-Konstante!$A$26)*(Konstante!$B$27-Konstante!$B$26)/(Konstante!$A$27-Konstante!$A$26)+Konstante!$B$26,IF(ABS(F55)&lt;=60,(ABS(F55)-Konstante!$A$27)*(Konstante!$B$28-Konstante!$B$27)/(Konstante!$A$28-Konstante!$A$27)+Konstante!$B$27,IF(ABS(F55)&lt;=90,(ABS(F55)-Konstante!$A$28)*(Konstante!$B$29-Konstante!$B$28)/(Konstante!$A$29-Konstante!$A$28)+Konstante!$B$28,IF(ABS(F55)&lt;=120,(ABS(F55)-Konstante!$A$30)*(Konstante!$B$30-Konstante!$B$29)/(Konstante!$A$30-Konstante!$A$29)+Konstante!$B$29,"Winkel zu groß"))))))</f>
        <v>0</v>
      </c>
      <c r="AK55" s="225" t="str">
        <f t="shared" si="28"/>
        <v>0</v>
      </c>
      <c r="AL55" s="225" t="str">
        <f t="shared" si="20"/>
        <v>0</v>
      </c>
    </row>
    <row r="56" spans="1:38" hidden="1" x14ac:dyDescent="0.25">
      <c r="A56" s="350" t="str">
        <f t="shared" si="0"/>
        <v/>
      </c>
      <c r="B56" s="71">
        <f t="shared" si="4"/>
        <v>28</v>
      </c>
      <c r="C56" s="188"/>
      <c r="D56" s="189"/>
      <c r="E56" s="189"/>
      <c r="F56" s="189"/>
      <c r="G56" s="186"/>
      <c r="H56" s="173">
        <f t="shared" si="5"/>
        <v>0</v>
      </c>
      <c r="I56" s="172" t="str">
        <f>IF(C56&gt;0,550*EXP(-0.83*(T56/100)/$F$14),"")</f>
        <v/>
      </c>
      <c r="J56" s="170" t="str">
        <f t="shared" si="7"/>
        <v/>
      </c>
      <c r="K56" s="72" t="str">
        <f t="shared" si="21"/>
        <v/>
      </c>
      <c r="L56" s="73" t="str">
        <f t="shared" si="24"/>
        <v/>
      </c>
      <c r="M56" s="377" t="str">
        <f>IF(C56&gt;0,1/(1.14+2*LOG(Y56/Konstante!$D$32))^2,"")</f>
        <v/>
      </c>
      <c r="N56" s="324" t="str">
        <f t="shared" si="22"/>
        <v/>
      </c>
      <c r="O56" s="72" t="str">
        <f t="shared" si="8"/>
        <v/>
      </c>
      <c r="P56" s="402" t="str">
        <f t="shared" si="25"/>
        <v/>
      </c>
      <c r="Q56" s="74" t="str">
        <f t="shared" si="9"/>
        <v>Werte eingeben</v>
      </c>
      <c r="R56" s="38" t="str">
        <f>IF(C56&gt;0+AND(C57&gt;0),2,"")</f>
        <v/>
      </c>
      <c r="S56" s="407" t="str">
        <f t="shared" si="26"/>
        <v/>
      </c>
      <c r="T56" s="225" t="str">
        <f t="shared" si="23"/>
        <v/>
      </c>
      <c r="U56" s="397" t="str">
        <f t="shared" si="1"/>
        <v/>
      </c>
      <c r="V56" s="386" t="str">
        <f t="shared" si="11"/>
        <v/>
      </c>
      <c r="W56" s="272" t="str">
        <f t="shared" si="12"/>
        <v/>
      </c>
      <c r="X56" s="395" t="str">
        <f t="shared" si="13"/>
        <v/>
      </c>
      <c r="Y56" s="387" t="str">
        <f t="shared" si="14"/>
        <v/>
      </c>
      <c r="Z56" s="382" t="str">
        <f t="shared" si="2"/>
        <v/>
      </c>
      <c r="AA56" s="382" t="str">
        <f t="shared" si="3"/>
        <v/>
      </c>
      <c r="AB56" s="383" t="str">
        <f t="shared" si="15"/>
        <v/>
      </c>
      <c r="AC56" s="383" t="str">
        <f t="shared" si="16"/>
        <v/>
      </c>
      <c r="AD56" s="383" t="str">
        <f t="shared" si="17"/>
        <v/>
      </c>
      <c r="AE56" s="272" t="str">
        <f>IF(C56&gt;0,(IF(ABS(AB56)&lt;=10,(ABS(AB56)-Konstante!$A$24)*(Konstante!$B$25-Konstante!$B$24)/(Konstante!$A$25-Konstante!$A$24)+Konstante!$B$24,IF(ABS(AB56)&lt;=30,(ABS(AB56)-Konstante!$A$25)*(Konstante!$B$26-Konstante!$B$25)/(Konstante!$A$26-Konstante!$A$25)+Konstante!$B$25,IF(ABS(AB56)&lt;=45,(ABS(AB56)-Konstante!$A$26)*(Konstante!$B$27-Konstante!$B$26)/(Konstante!$A$27-Konstante!$A$26)+Konstante!$B$26,IF(ABS(AB56)&lt;=60,(ABS(AB56)-Konstante!$A$27)*(Konstante!$B$28-Konstante!$B$27)/(Konstante!$A$28-Konstante!$A$27)+Konstante!$B$27,IF(ABS(AB56)&lt;=180,(ABS(AB56)-Konstante!$A$28)*(Konstante!$B$29-Konstante!$B$28)/(Konstante!$A$29-Konstante!$A$28)+Konstante!$B$28,"Winkel zu groß")))))),"")</f>
        <v/>
      </c>
      <c r="AF56" s="272" t="str">
        <f>IF(C56&gt;0,(IF(ABS(AC56)&lt;=10,(ABS(AC56)-Konstante!$A$24)*(Konstante!$B$25-Konstante!$B$24)/(Konstante!$A$25-Konstante!$A$24)+Konstante!$B$24,IF(ABS(AC56)&lt;=30,(ABS(AC56)-Konstante!$A$25)*(Konstante!$B$26-Konstante!$B$25)/(Konstante!$A$26-Konstante!$A$25)+Konstante!$B$25,IF(ABS(AC56)&lt;=45,(ABS(AC56)-Konstante!$A$26)*(Konstante!$B$27-Konstante!$B$26)/(Konstante!$A$27-Konstante!$A$26)+Konstante!$B$26,IF(ABS(AC56)&lt;=60,(ABS(AC56)-Konstante!$A$27)*(Konstante!$B$28-Konstante!$B$27)/(Konstante!$A$28-Konstante!$A$27)+Konstante!$B$27,IF(ABS(AC56)&lt;=180,(ABS(AC56)-Konstante!$A$28)*(Konstante!$B$29-Konstante!$B$28)/(Konstante!$A$29-Konstante!$A$28)+Konstante!$B$28,"Winkev zu groß")))))),"")</f>
        <v/>
      </c>
      <c r="AG56" s="272" t="str">
        <f>IF(C56&gt;0,(IF(ABS(AD56)&lt;=10,(ABS(AD56)-Konstante!$A$24)*(Konstante!$B$25-Konstante!$B$24)/(Konstante!$A$25-Konstante!$A$24)+Konstante!$B$24,IF(ABS(AD56)&lt;=30,(ABS(AD56)-Konstante!$A$25)*(Konstante!$B$26-Konstante!$B$25)/(Konstante!$A$26-Konstante!$A$25)+Konstante!$B$25,IF(ABS(AD56)&lt;=45,(ABS(AD56)-Konstante!$A$26)*(Konstante!$B$27-Konstante!$B$26)/(Konstante!$A$27-Konstante!$A$26)+Konstante!$B$26,IF(ABS(AD56)&lt;=60,(ABS(AD56)-Konstante!$A$27)*(Konstante!$B$28-Konstante!$B$27)/(Konstante!$A$28-Konstante!$A$27)+Konstante!$B$27,IF(ABS(AD56)&lt;=180,(ABS(AD56)-Konstante!$A$28)*(Konstante!$B$29-Konstante!$B$28)/(Konstante!$A$29-Konstante!$A$28)+Konstante!$B$28,"Winkel zu groß")))))),"")</f>
        <v/>
      </c>
      <c r="AH56" s="18"/>
      <c r="AI56" s="18" t="str">
        <f t="shared" si="18"/>
        <v>O.K.</v>
      </c>
      <c r="AJ56" s="225">
        <f>IF(ABS(F56)&lt;=10,(ABS(F56)-Konstante!$A$24)*(Konstante!$B$25-Konstante!$B$24)/(Konstante!$A$25-Konstante!$A$24)+Konstante!$B$24,IF(ABS(F56)&lt;=30,(ABS(F56)-Konstante!$A$25)*(Konstante!$B$26-Konstante!$B$25)/(Konstante!$A$26-Konstante!$A$25)+Konstante!$B$25,IF(ABS(F56)&lt;=45,(ABS(F56)-Konstante!$A$26)*(Konstante!$B$27-Konstante!$B$26)/(Konstante!$A$27-Konstante!$A$26)+Konstante!$B$26,IF(ABS(F56)&lt;=60,(ABS(F56)-Konstante!$A$27)*(Konstante!$B$28-Konstante!$B$27)/(Konstante!$A$28-Konstante!$A$27)+Konstante!$B$27,IF(ABS(F56)&lt;=90,(ABS(F56)-Konstante!$A$28)*(Konstante!$B$29-Konstante!$B$28)/(Konstante!$A$29-Konstante!$A$28)+Konstante!$B$28,IF(ABS(F56)&lt;=120,(ABS(F56)-Konstante!$A$30)*(Konstante!$B$30-Konstante!$B$29)/(Konstante!$A$30-Konstante!$A$29)+Konstante!$B$29,"Winkel zu groß"))))))</f>
        <v>0</v>
      </c>
      <c r="AK56" s="225" t="str">
        <f t="shared" si="28"/>
        <v>0</v>
      </c>
      <c r="AL56" s="225" t="str">
        <f t="shared" si="20"/>
        <v>0</v>
      </c>
    </row>
    <row r="57" spans="1:38" ht="14.25" hidden="1" thickBot="1" x14ac:dyDescent="0.3">
      <c r="B57" s="75" t="s">
        <v>94</v>
      </c>
      <c r="C57" s="190">
        <v>20</v>
      </c>
      <c r="D57" s="191">
        <v>20</v>
      </c>
      <c r="E57" s="191">
        <v>50</v>
      </c>
      <c r="F57" s="191">
        <v>90</v>
      </c>
      <c r="G57" s="192" t="s">
        <v>309</v>
      </c>
      <c r="H57" s="174">
        <f t="shared" si="5"/>
        <v>0</v>
      </c>
      <c r="I57" s="78">
        <f>550*EXP(-0.83*(T57/100)/$F$14)</f>
        <v>424.62735377087466</v>
      </c>
      <c r="J57" s="171">
        <f>W57/U57</f>
        <v>1.9848329685067465</v>
      </c>
      <c r="K57" s="65">
        <f>9.81*H57/100*($X$22-X57)</f>
        <v>0</v>
      </c>
      <c r="L57" s="76">
        <f>X57*J57^2/2</f>
        <v>0.96384595495067538</v>
      </c>
      <c r="M57" s="398">
        <f>1/(1.14+(2*LOG(Y57/Konstante!$D$32)))^2</f>
        <v>4.3623934007088638E-2</v>
      </c>
      <c r="N57" s="325">
        <f>(M57*L57*(E57/100))/Y57</f>
        <v>0.10511688082941899</v>
      </c>
      <c r="O57" s="65">
        <f>IF(ISBLANK(E57),"",IF(AND(G57=VLOOKUP(2,LetzterZug,7,FALSE),F57=0,VLOOKUP(2,LetzterZug,21,FALSE)&gt;U57),AL57,IF(AND(G57=VLOOKUP(2,LetzterZug,7,FALSE),F57=0,VLOOKUP(2,LetzterZug,21,FALSE)&lt;U57),AK57,IF((VLOOKUP(2,LetzterZug,5,FALSE)/100)&lt;VLOOKUP(2,LetzterZug,25,FALSE),VLOOKUP(2,LetzterZug,27,FALSE)+AK57+AL57,IF((E57/100)&lt;Y57,Z57+AK57+AL57,AJ57+AK57+AL57)))))</f>
        <v>1.2</v>
      </c>
      <c r="P57" s="403">
        <f>O57*L57</f>
        <v>1.1566151459408105</v>
      </c>
      <c r="Q57" s="74" t="str">
        <f t="shared" si="9"/>
        <v>Eingabe I.O.</v>
      </c>
      <c r="R57" s="38" t="str">
        <f>IF(C57&gt;0+AND(C58&gt;0),"",1)</f>
        <v/>
      </c>
      <c r="S57" s="407">
        <f>VLOOKUP(2,Liste1,2,FALSE)+E57</f>
        <v>160</v>
      </c>
      <c r="T57" s="225">
        <f>VLOOKUP(2,Liste1,2,FALSE)+E57/2</f>
        <v>135</v>
      </c>
      <c r="U57" s="397">
        <f>C57*D57/10000</f>
        <v>0.04</v>
      </c>
      <c r="V57" s="386">
        <f>(273+I57)/273</f>
        <v>2.5554115522742658</v>
      </c>
      <c r="W57" s="272">
        <f>0.00273*$F$11*$V$16*V57</f>
        <v>7.9393318740269864E-2</v>
      </c>
      <c r="X57" s="395">
        <f>1.282/($V$16*V57)</f>
        <v>0.48931631296444716</v>
      </c>
      <c r="Y57" s="387">
        <f>4*U57/(2*(D57/100+C57/100))</f>
        <v>0.19999999999999998</v>
      </c>
      <c r="Z57" s="382" t="str">
        <f t="shared" si="2"/>
        <v/>
      </c>
      <c r="AA57" s="382" t="str">
        <f t="shared" si="3"/>
        <v/>
      </c>
      <c r="AB57" s="383">
        <f t="shared" si="15"/>
        <v>90</v>
      </c>
      <c r="AC57" s="383">
        <f>$F$60</f>
        <v>90</v>
      </c>
      <c r="AD57" s="383">
        <f t="shared" si="17"/>
        <v>0</v>
      </c>
      <c r="AE57" s="272">
        <f>IF(ABS(AB57)&lt;=10,(ABS(AB57)-Konstante!$A$24)*(Konstante!$B$25-Konstante!$B$24)/(Konstante!$A$25-Konstante!$A$24)+Konstante!$B$24,IF(ABS(AB57)&lt;=30,(ABS(AB57)-Konstante!$A$25)*(Konstante!$B$26-Konstante!$B$25)/(Konstante!$A$26-Konstante!$A$25)+Konstante!$B$25,IF(ABS(AB57)&lt;=45,(ABS(AB57)-Konstante!$A$26)*(Konstante!$B$27-Konstante!$B$26)/(Konstante!$A$27-Konstante!$A$26)+Konstante!$B$26,IF(ABS(AB57)&lt;=60,(ABS(AB57)-Konstante!$A$27)*(Konstante!$B$28-Konstante!$B$27)/(Konstante!$A$28-Konstante!$A$27)+Konstante!$B$27,IF(ABS(AB57)&lt;=180,(ABS(AB57)-Konstante!$A$28)*(Konstante!$B$29-Konstante!$B$28)/(Konstante!$A$29-Konstante!$A$28)+Konstante!$B$28,"Winkel zu groß")))))</f>
        <v>1.2</v>
      </c>
      <c r="AF57" s="272">
        <f>IF(ABS(AC57)&lt;=10,(ABS(AC57)-Konstante!$A$24)*(Konstante!$B$25-Konstante!$B$24)/(Konstante!$A$25-Konstante!$A$24)+Konstante!$B$24,IF(ABS(AC57)&lt;=30,(ABS(AC57)-Konstante!$A$25)*(Konstante!$B$26-Konstante!$B$25)/(Konstante!$A$26-Konstante!$A$25)+Konstante!$B$25,IF(ABS(AC57)&lt;=45,(ABS(AC57)-Konstante!$A$26)*(Konstante!$B$27-Konstante!$B$26)/(Konstante!$A$27-Konstante!$A$26)+Konstante!$B$26,IF(ABS(AC57)&lt;=60,(ABS(AC57)-Konstante!$A$27)*(Konstante!$B$28-Konstante!$B$27)/(Konstante!$A$28-Konstante!$A$27)+Konstante!$B$27,IF(ABS(AC57)&lt;=180,(ABS(AC57)-Konstante!$A$28)*(Konstante!$B$29-Konstante!$B$28)/(Konstante!$A$29-Konstante!$A$28)+Konstante!$B$28,"Winkel zu groß")))))</f>
        <v>1.2</v>
      </c>
      <c r="AG57" s="272">
        <f>IF(ABS(AD57)&lt;=10,(ABS(AD57)-Konstante!$A$24)*(Konstante!$B$25-Konstante!$B$24)/(Konstante!$A$25-Konstante!$A$24)+Konstante!$B$24,IF(ABS(AD57)&lt;=30,(ABS(AD57)-Konstante!$A$25)*(Konstante!$B$26-Konstante!$B$25)/(Konstante!$A$26-Konstante!$A$25)+Konstante!$B$25,IF(ABS(AD57)&lt;=45,(ABS(AD57)-Konstante!$A$26)*(Konstante!$B$27-Konstante!$B$26)/(Konstante!$A$27-Konstante!$A$26)+Konstante!$B$26,IF(ABS(AD57)&lt;=60,(ABS(AD57)-Konstante!$A$27)*(Konstante!$B$28-Konstante!$B$27)/(Konstante!$A$28-Konstante!$A$27)+Konstante!$B$27,IF(ABS(AD57)&lt;=180,(ABS(AD57)-Konstante!$A$28)*(Konstante!$B$29-Konstante!$B$28)/(Konstante!$A$29-Konstante!$A$28)+Konstante!$B$28,"Winkel zu groß")))))</f>
        <v>0</v>
      </c>
      <c r="AH57" s="18"/>
      <c r="AI57" s="18" t="str">
        <f>IF(OR(AND(VLOOKUP(2,A28:G56,7,FALSE)="Oben",G60="Unten"),AND(VLOOKUP(2,A28:G56,7,FALSE)="Unten",G60="Oben"),AND(VLOOKUP(2,A28:G56,7,FALSE)="Links",G60="Rechts"),AND(VLOOKUP(2,A28:G56,7,FALSE)="Rechts",G60="Links"),AND(VLOOKUP(2,A28:G56,7,FALSE)="Vorne",G60="Hinten"),AND(VLOOKUP(2,A28:G56,7,FALSE)="Hinten",G60="Vorne"),AND(VLOOKUP(2,A28:G56,7,FALSE)="L-O",G60="Rechts"),AND(VLOOKUP(2,A28:G56,7,FALSE)="L-U",G60="Rechts"),AND(VLOOKUP(2,A28:G56,7,FALSE)="R-O",G60="Links"),AND(VLOOKUP(2,A28:G56,7,FALSE)="R-U",G60="Links"),AND(VLOOKUP(2,A28:G56,7,FALSE)="L-O",G60="R-U"),AND(VLOOKUP(2,A28:G56,7,FALSE)="L-U",G60="R-O"),AND(VLOOKUP(2,A28:G56,7,FALSE)="R-U",G60="L-O"),AND(VLOOKUP(2,A28:G56,7,FALSE)="R-U",G60="L-O"),AND(VLOOKUP(2,A28:G56,7,FALSE)="H-U",G60="V-O"),AND(VLOOKUP(2,A28:G56,7,FALSE)="V-O",G60="H-U"),AND(VLOOKUP(2,A28:G56,7,FALSE)="H-O",G60="V-U"),AND(VLOOKUP(2,A28:G56,7,FALSE)="V-U",G60="H-O")),"Nicht möglich","O.K.")</f>
        <v>O.K.</v>
      </c>
      <c r="AJ57" s="225">
        <f>IF(ABS(F57)&lt;=10,(ABS(F57)-Konstante!$A$24)*(Konstante!$B$25-Konstante!$B$24)/(Konstante!$A$25-Konstante!$A$24)+Konstante!$B$24,IF(ABS(F57)&lt;=30,(ABS(F57)-Konstante!$A$25)*(Konstante!$B$26-Konstante!$B$25)/(Konstante!$A$26-Konstante!$A$25)+Konstante!$B$25,IF(ABS(F57)&lt;=45,(ABS(F57)-Konstante!$A$26)*(Konstante!$B$27-Konstante!$B$26)/(Konstante!$A$27-Konstante!$A$26)+Konstante!$B$26,IF(ABS(F57)&lt;=60,(ABS(F57)-Konstante!$A$27)*(Konstante!$B$28-Konstante!$B$27)/(Konstante!$A$28-Konstante!$A$27)+Konstante!$B$27,IF(ABS(F57)&lt;=90,(ABS(F57)-Konstante!$A$28)*(Konstante!$B$29-Konstante!$B$28)/(Konstante!$A$29-Konstante!$A$28)+Konstante!$B$28,IF(ABS(F57)&lt;=120,(ABS(F57)-Konstante!$A$30)*(Konstante!$B$30-Konstante!$B$29)/(Konstante!$A$30-Konstante!$A$29)+Konstante!$B$29,"Winkel zu groß"))))))</f>
        <v>1.2</v>
      </c>
      <c r="AK57" s="225" t="str">
        <f>IF(VLOOKUP(2,LetzterZug,21,FALSE)&lt;U57,(1-(VLOOKUP(2,LetzterZug,21,FALSE)/U57))^2,"0")</f>
        <v>0</v>
      </c>
      <c r="AL57" s="225" t="str">
        <f>IF(VLOOKUP(2,LetzterZug,21,FALSE)&gt;U57,(((1/0.63)-1)^2)*(1-(U57/VLOOKUP(2,LetzterZug,21,FALSE))),"0")</f>
        <v>0</v>
      </c>
    </row>
    <row r="58" spans="1:38" ht="14.25" hidden="1" thickBot="1" x14ac:dyDescent="0.3">
      <c r="B58" s="56"/>
      <c r="C58" s="16"/>
      <c r="D58" s="16"/>
      <c r="E58" s="16"/>
      <c r="F58" s="16"/>
      <c r="G58" s="16"/>
      <c r="H58" s="16"/>
      <c r="I58" s="16"/>
      <c r="J58" s="45"/>
      <c r="K58" s="57"/>
      <c r="L58" s="16"/>
      <c r="M58" s="40"/>
      <c r="N58" s="155"/>
      <c r="O58" s="45"/>
      <c r="P58" s="155"/>
      <c r="Q58" s="16"/>
      <c r="S58" s="360"/>
      <c r="T58" s="360"/>
      <c r="U58" s="368"/>
      <c r="V58" s="360"/>
      <c r="W58" s="370"/>
      <c r="X58" s="372"/>
      <c r="Y58" s="16"/>
      <c r="Z58" s="375"/>
      <c r="AA58" s="32"/>
      <c r="AB58" s="375"/>
      <c r="AC58" s="32"/>
      <c r="AD58" s="375"/>
      <c r="AE58" s="135"/>
      <c r="AF58" s="363"/>
      <c r="AG58" s="363"/>
      <c r="AH58" s="363"/>
      <c r="AI58" s="363"/>
      <c r="AJ58" s="364"/>
      <c r="AK58" s="135"/>
      <c r="AL58" s="135"/>
    </row>
    <row r="59" spans="1:38" ht="14.25" hidden="1" thickBot="1" x14ac:dyDescent="0.3">
      <c r="B59" s="58" t="s">
        <v>131</v>
      </c>
      <c r="C59" s="59"/>
      <c r="D59" s="59"/>
      <c r="E59" s="60"/>
      <c r="F59" s="60"/>
      <c r="G59" s="60"/>
      <c r="H59" s="60"/>
      <c r="I59" s="60"/>
      <c r="J59" s="162"/>
      <c r="K59" s="61"/>
      <c r="L59" s="60"/>
      <c r="M59" s="399"/>
      <c r="N59" s="156"/>
      <c r="O59" s="60"/>
      <c r="P59" s="156"/>
      <c r="Q59" s="16"/>
      <c r="S59" s="360"/>
      <c r="T59" s="360"/>
      <c r="U59" s="368"/>
      <c r="V59" s="360"/>
      <c r="W59" s="370"/>
      <c r="X59" s="372"/>
      <c r="Y59" s="16"/>
      <c r="Z59" s="375"/>
      <c r="AA59" s="32"/>
      <c r="AB59" s="375"/>
      <c r="AC59" s="32"/>
      <c r="AD59" s="375"/>
      <c r="AE59" s="135"/>
      <c r="AF59" s="363"/>
      <c r="AG59" s="363"/>
      <c r="AH59" s="363"/>
      <c r="AI59" s="363"/>
      <c r="AJ59" s="364"/>
      <c r="AK59" s="135"/>
      <c r="AL59" s="135"/>
    </row>
    <row r="60" spans="1:38" ht="14.25" hidden="1" thickBot="1" x14ac:dyDescent="0.3">
      <c r="B60" s="179" t="s">
        <v>58</v>
      </c>
      <c r="C60" s="352">
        <f>VLOOKUP(B60,Poterieformat,2,FALSE)</f>
        <v>3</v>
      </c>
      <c r="D60" s="77"/>
      <c r="E60" s="193">
        <v>20</v>
      </c>
      <c r="F60" s="194">
        <v>90</v>
      </c>
      <c r="G60" s="179" t="s">
        <v>420</v>
      </c>
      <c r="H60" s="173">
        <f>IF(G60="Oben",E60,IF(G60="Unten",-E60,(IF(OR(G60="L-O",G60="R-O",G60="V-O",G60="H-O"),(SIN(F60*PI()/180)*E60),(IF(OR(G60="L-U",G60="R-U",G60="V-U",G60="H-U"),-(SIN(F60*PI()/180)*E60),0))))))</f>
        <v>0</v>
      </c>
      <c r="I60" s="163">
        <f>Verbindungsstück!O25</f>
        <v>401.56823119376031</v>
      </c>
      <c r="J60" s="164">
        <f>W60/U60</f>
        <v>2.3694160697074134</v>
      </c>
      <c r="K60" s="55">
        <f>9.81*H60/100*($X$22-X60)</f>
        <v>0</v>
      </c>
      <c r="L60" s="165">
        <f>X60*J60^2/2</f>
        <v>1.4204958678327266</v>
      </c>
      <c r="M60" s="400">
        <f>1/(1.14+2*LOG(Y60/Verbindungsstück!B12))^2</f>
        <v>3.923537937945748E-2</v>
      </c>
      <c r="N60" s="55">
        <f>(M60*L60*(E60/100))/Y60</f>
        <v>6.1926326979298583E-2</v>
      </c>
      <c r="O60" s="55">
        <f>IF(ISBLANK(E60),"",IF(AND(G60=G57,F60=0,U57&gt;U60),AL60,IF(AND(G60=G57,F60=0,U57&lt;U60),AK60,IF((E57/100)&lt;Y57,AA57+AK60+AL60,IF((E60/100)&lt;Y60,Z60+AK60+AL60,AJ60+AK60+AL60)))))</f>
        <v>1.2655353993449232</v>
      </c>
      <c r="P60" s="55">
        <f>O60*L60</f>
        <v>1.797687805365503</v>
      </c>
      <c r="Q60" s="74" t="str">
        <f>IF(C249="Nicht möglich","Richtung nicht möglich",IF(E60&lt;=0,"VB-Stück bitte eingeben",IF(OR(F60&gt;180,F60&lt;-180),"Winkel &gt; 180°",IF(OR(F60&gt;180,F60&lt;-180),"Winkel &gt; 180°",IF(OR(F60&gt;180,F60&lt;-180),"Winkel &gt;180°","Eingabe I.O.")))))</f>
        <v>Eingabe I.O.</v>
      </c>
      <c r="R60" s="24"/>
      <c r="S60" s="358"/>
      <c r="T60" s="358"/>
      <c r="U60" s="397">
        <f>Verbindungsstück!B10</f>
        <v>3.2399999999999998E-2</v>
      </c>
      <c r="V60" s="386">
        <f>(273+I60)/273</f>
        <v>2.4709459018086459</v>
      </c>
      <c r="W60" s="272">
        <f>0.00273*$F$11*$V$16*V60</f>
        <v>7.6769080658520186E-2</v>
      </c>
      <c r="X60" s="380">
        <f>1.282/($V$16*V60)</f>
        <v>0.50604287125442371</v>
      </c>
      <c r="Y60" s="18">
        <f>Verbindungsstück!B7</f>
        <v>0.18</v>
      </c>
      <c r="Z60" s="382" t="str">
        <f>IF(AND((E60/100)&lt;Y60,C60&gt;0),AE60+((AB60)/((AB60)+(AC60)))*(AG60-AF60-AE60)*(1-((E60/100)/Y60)),"")</f>
        <v/>
      </c>
      <c r="AA60" s="382" t="str">
        <f>IF(AND((E60/100)&lt;Y60,C60&gt;0),AF60+((AC60)/((AB60)+(AC60)))*(AG60-AF60-AE60)*(1-((E60/100)/Y60)),"")</f>
        <v/>
      </c>
      <c r="AB60" s="383">
        <f>IF(C60&gt;0,F60,"")</f>
        <v>90</v>
      </c>
      <c r="AC60" s="383">
        <f>$F$63</f>
        <v>90</v>
      </c>
      <c r="AD60" s="383">
        <f>ABS(AC60-AB60)</f>
        <v>0</v>
      </c>
      <c r="AE60" s="272">
        <f>IF(ABS(AB60)&lt;=10,(ABS(AB60)-Konstante!$A$24)*(Konstante!$B$25-Konstante!$B$24)/(Konstante!$A$25-Konstante!$A$24)+Konstante!$B$24,IF(ABS(AB60)&lt;=30,(ABS(AB60)-Konstante!$A$25)*(Konstante!$B$26-Konstante!$B$25)/(Konstante!$A$26-Konstante!$A$25)+Konstante!$B$25,IF(ABS(AB60)&lt;=45,(ABS(AB60)-Konstante!$A$26)*(Konstante!$B$27-Konstante!$B$26)/(Konstante!$A$27-Konstante!$A$26)+Konstante!$B$26,IF(ABS(AB60)&lt;=60,(ABS(AB60)-Konstante!$A$27)*(Konstante!$B$28-Konstante!$B$27)/(Konstante!$A$28-Konstante!$A$27)+Konstante!$B$27,IF(ABS(AB60)&lt;=180,(ABS(AB60)-Konstante!$A$28)*(Konstante!$B$29-Konstante!$B$28)/(Konstante!$A$29-Konstante!$A$28)+Konstante!$B$28,"Winkel zu groß")))))</f>
        <v>1.2</v>
      </c>
      <c r="AF60" s="272">
        <f>IF(ABS(AC60)&lt;=10,(ABS(AC60)-Konstante!$A$24)*(Konstante!$B$25-Konstante!$B$24)/(Konstante!$A$25-Konstante!$A$24)+Konstante!$B$24,IF(ABS(AC60)&lt;=30,(ABS(AC60)-Konstante!$A$25)*(Konstante!$B$26-Konstante!$B$25)/(Konstante!$A$26-Konstante!$A$25)+Konstante!$B$25,IF(ABS(AC60)&lt;=45,(ABS(AC60)-Konstante!$A$26)*(Konstante!$B$27-Konstante!$B$26)/(Konstante!$A$27-Konstante!$A$26)+Konstante!$B$26,IF(ABS(AC60)&lt;=60,(ABS(AC60)-Konstante!$A$27)*(Konstante!$B$28-Konstante!$B$27)/(Konstante!$A$28-Konstante!$A$27)+Konstante!$B$27,IF(ABS(AC60)&lt;=180,(ABS(AC60)-Konstante!$A$28)*(Konstante!$B$29-Konstante!$B$28)/(Konstante!$A$29-Konstante!$A$28)+Konstante!$B$28,"Winkel zu groß")))))</f>
        <v>1.2</v>
      </c>
      <c r="AG60" s="272">
        <f>IF(ABS(AD60)&lt;=10,(ABS(AD60)-Konstante!$A$24)*(Konstante!$B$25-Konstante!$B$24)/(Konstante!$A$25-Konstante!$A$24)+Konstante!$B$24,IF(ABS(AD60)&lt;=30,(ABS(AD60)-Konstante!$A$25)*(Konstante!$B$26-Konstante!$B$25)/(Konstante!$A$26-Konstante!$A$25)+Konstante!$B$25,IF(ABS(AD60)&lt;=45,(ABS(AD60)-Konstante!$A$26)*(Konstante!$B$27-Konstante!$B$26)/(Konstante!$A$27-Konstante!$A$26)+Konstante!$B$26,IF(ABS(AD60)&lt;=60,(ABS(AD60)-Konstante!$A$27)*(Konstante!$B$28-Konstante!$B$27)/(Konstante!$A$28-Konstante!$A$27)+Konstante!$B$27,IF(ABS(AD60)&lt;=180,(ABS(AD60)-Konstante!$A$28)*(Konstante!$B$29-Konstante!$B$28)/(Konstante!$A$29-Konstante!$A$28)+Konstante!$B$28,"Winkel zu groß")))))</f>
        <v>0</v>
      </c>
      <c r="AH60" s="18"/>
      <c r="AI60" s="18" t="e">
        <f>IF(OR(AND(VLOOKUP(2,A31:G59,7,FALSE)="Oben",G63="Unten"),AND(VLOOKUP(2,A31:G59,7,FALSE)="Unten",G63="Oben"),AND(VLOOKUP(2,A31:G59,7,FALSE)="Links",G63="Rechts"),AND(VLOOKUP(2,A31:G59,7,FALSE)="Rechts",G63="Links"),AND(VLOOKUP(2,A31:G59,7,FALSE)="Vorne",G63="Hinten"),AND(VLOOKUP(2,A31:G59,7,FALSE)="Hinten",G63="Vorne"),AND(VLOOKUP(2,A31:G59,7,FALSE)="L-O",G63="Rechts"),AND(VLOOKUP(2,A31:G59,7,FALSE)="L-U",G63="Rechts"),AND(VLOOKUP(2,A31:G59,7,FALSE)="R-O",G63="Links"),AND(VLOOKUP(2,A31:G59,7,FALSE)="R-U",G63="Links"),AND(VLOOKUP(2,A31:G59,7,FALSE)="L-O",G63="R-U"),AND(VLOOKUP(2,A31:G59,7,FALSE)="L-U",G63="R-O"),AND(VLOOKUP(2,A31:G59,7,FALSE)="R-U",G63="L-O"),AND(VLOOKUP(2,A31:G59,7,FALSE)="R-U",G63="L-O"),AND(VLOOKUP(2,A31:G59,7,FALSE)="H-U",G63="V-O"),AND(VLOOKUP(2,A31:G59,7,FALSE)="V-O",G63="H-U"),AND(VLOOKUP(2,A31:G59,7,FALSE)="H-O",G63="V-U"),AND(VLOOKUP(2,A31:G59,7,FALSE)="V-U",G63="H-O")),"Nicht möglich","O.K.")</f>
        <v>#N/A</v>
      </c>
      <c r="AJ60" s="225">
        <f>IF(ABS(F60)&lt;=10,(ABS(F60)-Konstante!$A$24)*(Konstante!$B$25-Konstante!$B$24)/(Konstante!$A$25-Konstante!$A$24)+Konstante!$B$24,IF(ABS(F60)&lt;=30,(ABS(F60)-Konstante!$A$25)*(Konstante!$B$26-Konstante!$B$25)/(Konstante!$A$26-Konstante!$A$25)+Konstante!$B$25,IF(ABS(F60)&lt;=45,(ABS(F60)-Konstante!$A$26)*(Konstante!$B$27-Konstante!$B$26)/(Konstante!$A$27-Konstante!$A$26)+Konstante!$B$26,IF(ABS(F60)&lt;=60,(ABS(F60)-Konstante!$A$27)*(Konstante!$B$28-Konstante!$B$27)/(Konstante!$A$28-Konstante!$A$27)+Konstante!$B$27,IF(ABS(F60)&lt;=90,(ABS(F60)-Konstante!$A$28)*(Konstante!$B$29-Konstante!$B$28)/(Konstante!$A$29-Konstante!$A$28)+Konstante!$B$28,IF(ABS(F60)&lt;=120,(ABS(F60)-Konstante!$A$30)*(Konstante!$B$30-Konstante!$B$29)/(Konstante!$A$30-Konstante!$A$29)+Konstante!$B$29,"Winkel zu groß"))))))</f>
        <v>1.2</v>
      </c>
      <c r="AK60" s="225" t="str">
        <f>IF(U57&lt;U60,(1-(U57/U60))^2,"0")</f>
        <v>0</v>
      </c>
      <c r="AL60" s="225">
        <f>IF(U57&gt;U60,(((1/0.63)-1)^2)*(1-(U60/U57)),"0")</f>
        <v>6.5535399344923154E-2</v>
      </c>
    </row>
    <row r="61" spans="1:38" ht="14.25" hidden="1" thickBot="1" x14ac:dyDescent="0.3">
      <c r="B61" s="68"/>
      <c r="C61" s="80"/>
      <c r="D61" s="69"/>
      <c r="E61" s="69"/>
      <c r="F61" s="69"/>
      <c r="G61" s="69"/>
      <c r="H61" s="69"/>
      <c r="I61" s="69"/>
      <c r="J61" s="153"/>
      <c r="K61" s="57"/>
      <c r="L61" s="16"/>
      <c r="M61" s="40"/>
      <c r="N61" s="155"/>
      <c r="O61" s="45"/>
      <c r="P61" s="155"/>
      <c r="Q61" s="16"/>
      <c r="S61" s="360"/>
      <c r="T61" s="360"/>
      <c r="U61" s="368"/>
      <c r="V61" s="360"/>
      <c r="W61" s="370"/>
      <c r="X61" s="372"/>
      <c r="Y61" s="16"/>
      <c r="Z61" s="375"/>
      <c r="AA61" s="32"/>
      <c r="AB61" s="375"/>
      <c r="AC61" s="32"/>
      <c r="AD61" s="375"/>
      <c r="AE61" s="135"/>
      <c r="AF61" s="363"/>
      <c r="AG61" s="363"/>
      <c r="AH61" s="363"/>
      <c r="AI61" s="363"/>
      <c r="AJ61" s="363"/>
      <c r="AK61" s="135"/>
      <c r="AL61" s="135"/>
    </row>
    <row r="62" spans="1:38" ht="14.25" hidden="1" thickBot="1" x14ac:dyDescent="0.3">
      <c r="B62" s="58" t="s">
        <v>130</v>
      </c>
      <c r="C62" s="81"/>
      <c r="D62" s="60"/>
      <c r="E62" s="60"/>
      <c r="F62" s="60"/>
      <c r="G62" s="60"/>
      <c r="H62" s="60"/>
      <c r="I62" s="60"/>
      <c r="J62" s="154"/>
      <c r="K62" s="61"/>
      <c r="L62" s="60"/>
      <c r="M62" s="399"/>
      <c r="N62" s="156"/>
      <c r="O62" s="60"/>
      <c r="P62" s="156"/>
      <c r="Q62" s="16"/>
      <c r="S62" s="360"/>
      <c r="T62" s="360"/>
      <c r="U62" s="368"/>
      <c r="V62" s="360"/>
      <c r="W62" s="370"/>
      <c r="X62" s="372"/>
      <c r="Y62" s="16"/>
      <c r="Z62" s="375"/>
      <c r="AA62" s="32"/>
      <c r="AB62" s="135"/>
      <c r="AC62" s="16"/>
      <c r="AD62" s="135"/>
      <c r="AE62" s="135"/>
      <c r="AF62" s="363"/>
      <c r="AG62" s="363"/>
      <c r="AH62" s="363"/>
      <c r="AI62" s="363"/>
      <c r="AJ62" s="363"/>
      <c r="AK62" s="135"/>
      <c r="AL62" s="135"/>
    </row>
    <row r="63" spans="1:38" ht="14.25" hidden="1" thickBot="1" x14ac:dyDescent="0.3">
      <c r="B63" s="179" t="s">
        <v>51</v>
      </c>
      <c r="C63" s="353">
        <f>VLOOKUP(B63,Schornsteinformat,2,FALSE)</f>
        <v>25</v>
      </c>
      <c r="D63" s="82"/>
      <c r="E63" s="179">
        <v>700</v>
      </c>
      <c r="F63" s="179">
        <v>90</v>
      </c>
      <c r="G63" s="416" t="s">
        <v>312</v>
      </c>
      <c r="H63" s="166"/>
      <c r="I63" s="163">
        <f>Schornstein!O25</f>
        <v>353.98157315664582</v>
      </c>
      <c r="J63" s="49">
        <f>W63/U63</f>
        <v>2.8040150557832297</v>
      </c>
      <c r="K63" s="55">
        <f>9.81*E63/100*($X$22-X63)</f>
        <v>49.21461731718432</v>
      </c>
      <c r="L63" s="165">
        <f>X63*(J63^2)/2</f>
        <v>2.1403712311276428</v>
      </c>
      <c r="M63" s="400">
        <f>1/(1.14+2*LOG(Y63/Schornstein!B12))^2</f>
        <v>3.1319824698698748E-2</v>
      </c>
      <c r="N63" s="55">
        <f>(M63*L63*(E63/100))/Y63</f>
        <v>2.6069575680188364</v>
      </c>
      <c r="O63" s="55">
        <f>IF(ISBLANK(E63),"",IF(AND(G63=G60,F63=0,U60&gt;U63),AL63,IF(AND(G63=G60,F63=0,U60&lt;U63),AK63,IF((E60/100)&lt;Y60,AA60+AK63+AL63,AJ63+AK63+AL63))))</f>
        <v>1.2740211424310639</v>
      </c>
      <c r="P63" s="55">
        <f>O63*L63</f>
        <v>2.7268782011078221</v>
      </c>
      <c r="Q63" s="74" t="str">
        <f>IF(E63&lt;=0,"Fang bitte eingeben","Eingabe I.O.")</f>
        <v>Eingabe I.O.</v>
      </c>
      <c r="R63" s="24"/>
      <c r="S63" s="358"/>
      <c r="T63" s="358"/>
      <c r="U63" s="397">
        <f>Schornstein!B10</f>
        <v>2.5446900494077322E-2</v>
      </c>
      <c r="V63" s="386">
        <f>(273+I63)/273</f>
        <v>2.2966357991085928</v>
      </c>
      <c r="W63" s="272">
        <f>0.00273*$F$11*$V$16*V63</f>
        <v>7.1353492108410521E-2</v>
      </c>
      <c r="X63" s="380">
        <f>1.282/($V$16*V63)</f>
        <v>0.54445052165037466</v>
      </c>
      <c r="Y63" s="18">
        <f>Schornstein!B7</f>
        <v>0.18</v>
      </c>
      <c r="Z63" s="376"/>
      <c r="AA63" s="361"/>
      <c r="AB63" s="135"/>
      <c r="AC63" s="16"/>
      <c r="AD63" s="135"/>
      <c r="AE63" s="135"/>
      <c r="AF63" s="363"/>
      <c r="AG63" s="363"/>
      <c r="AH63" s="363"/>
      <c r="AI63" s="363"/>
      <c r="AJ63" s="225">
        <f>IF(ABS(F63)&lt;=10,(ABS(F63)-Konstante!$A$24)*(Konstante!$B$25-Konstante!$B$24)/(Konstante!$A$25-Konstante!$A$24)+Konstante!$B$24,IF(ABS(F63)&lt;=30,(ABS(F63)-Konstante!$A$25)*(Konstante!$B$26-Konstante!$B$25)/(Konstante!$A$26-Konstante!$A$25)+Konstante!$B$25,IF(ABS(F63)&lt;=45,(ABS(F63)-Konstante!$A$26)*(Konstante!$B$27-Konstante!$B$26)/(Konstante!$A$27-Konstante!$A$26)+Konstante!$B$26,IF(ABS(F63)&lt;=60,(ABS(F63)-Konstante!$A$27)*(Konstante!$B$28-Konstante!$B$27)/(Konstante!$A$28-Konstante!$A$27)+Konstante!$B$27,IF(ABS(F63)&lt;=90,(ABS(F63)-Konstante!$A$28)*(Konstante!$B$29-Konstante!$B$28)/(Konstante!$A$29-Konstante!$A$28)+Konstante!$B$28,IF(ABS(F63)&lt;=120,(ABS(F63)-Konstante!$A$30)*(Konstante!$B$30-Konstante!$B$29)/(Konstante!$A$30-Konstante!$A$29)+Konstante!$B$29,"Winkel zu groß"))))))</f>
        <v>1.2</v>
      </c>
      <c r="AK63" s="225" t="str">
        <f>IF(U60&lt;U63,(1-(U60/U63))^2,"0")</f>
        <v>0</v>
      </c>
      <c r="AL63" s="225">
        <f>IF(U60&gt;U63,(((1/0.63)-1)^2)*(1-(U63/U60)),"0")</f>
        <v>7.4021142431064044E-2</v>
      </c>
    </row>
    <row r="64" spans="1:38" ht="14.25" hidden="1" thickBot="1" x14ac:dyDescent="0.3">
      <c r="B64" s="56"/>
      <c r="C64" s="16"/>
      <c r="D64" s="16"/>
      <c r="E64" s="16"/>
      <c r="F64" s="16"/>
      <c r="G64" s="16"/>
      <c r="H64" s="16"/>
      <c r="I64" s="16"/>
      <c r="J64" s="16"/>
      <c r="K64" s="57"/>
      <c r="L64" s="16"/>
      <c r="M64" s="16"/>
      <c r="N64" s="57"/>
      <c r="O64" s="16"/>
      <c r="P64" s="155"/>
      <c r="Q64" s="16"/>
      <c r="S64" s="360"/>
      <c r="T64" s="360"/>
      <c r="U64" s="368"/>
      <c r="V64" s="360"/>
      <c r="W64" s="360"/>
      <c r="X64" s="372"/>
      <c r="Y64" s="16"/>
      <c r="Z64" s="135"/>
      <c r="AA64" s="16"/>
      <c r="AB64" s="135"/>
      <c r="AC64" s="16"/>
      <c r="AD64" s="135"/>
      <c r="AE64" s="135"/>
      <c r="AF64" s="363"/>
      <c r="AG64" s="363"/>
      <c r="AH64" s="363"/>
      <c r="AI64" s="363"/>
      <c r="AJ64" s="363"/>
      <c r="AK64" s="135"/>
      <c r="AL64" s="135"/>
    </row>
    <row r="65" spans="2:38" ht="14.25" hidden="1" thickBot="1" x14ac:dyDescent="0.3">
      <c r="B65" s="485" t="s">
        <v>102</v>
      </c>
      <c r="C65" s="486"/>
      <c r="D65" s="486"/>
      <c r="E65" s="486"/>
      <c r="F65" s="486"/>
      <c r="G65" s="486"/>
      <c r="H65" s="486"/>
      <c r="I65" s="486"/>
      <c r="J65" s="486"/>
      <c r="K65" s="55">
        <f>ABS(SUM(K22:K63))</f>
        <v>47.335522924285407</v>
      </c>
      <c r="L65" s="84"/>
      <c r="M65" s="84"/>
      <c r="N65" s="55">
        <f>SUM(N28:N63)</f>
        <v>3.0287632407930087</v>
      </c>
      <c r="O65" s="54"/>
      <c r="P65" s="55">
        <f>SUM(P22:P63)</f>
        <v>8.4248892465776386</v>
      </c>
      <c r="Q65" s="16"/>
      <c r="S65" s="360"/>
      <c r="T65" s="360"/>
      <c r="U65" s="368"/>
      <c r="V65" s="360"/>
      <c r="W65" s="360"/>
      <c r="X65" s="372"/>
      <c r="Y65" s="16"/>
      <c r="Z65" s="135"/>
      <c r="AA65" s="16"/>
      <c r="AB65" s="135"/>
      <c r="AC65" s="16"/>
      <c r="AD65" s="135"/>
      <c r="AE65" s="135"/>
      <c r="AF65" s="363"/>
      <c r="AG65" s="363"/>
      <c r="AH65" s="363"/>
      <c r="AI65" s="363"/>
      <c r="AJ65" s="363"/>
      <c r="AK65" s="135"/>
      <c r="AL65" s="135"/>
    </row>
    <row r="66" spans="2:38" ht="14.25" hidden="1" thickBot="1" x14ac:dyDescent="0.3">
      <c r="B66" s="15"/>
      <c r="C66" s="45"/>
      <c r="D66" s="16"/>
      <c r="E66" s="16"/>
      <c r="F66" s="40"/>
      <c r="G66" s="40"/>
      <c r="H66" s="40"/>
      <c r="I66" s="16"/>
      <c r="J66" s="16"/>
      <c r="K66" s="16"/>
      <c r="L66" s="16"/>
      <c r="M66" s="16"/>
      <c r="N66" s="16"/>
      <c r="O66" s="16"/>
      <c r="P66" s="16"/>
      <c r="Q66" s="15"/>
      <c r="R66" s="87"/>
      <c r="S66" s="393"/>
      <c r="T66" s="358"/>
      <c r="U66" s="397">
        <f>1.05*(N65+P65)-(N65+P65)</f>
        <v>0.57268262436853234</v>
      </c>
      <c r="V66" s="358"/>
      <c r="W66" s="358"/>
      <c r="X66" s="374"/>
      <c r="Y66" s="359"/>
      <c r="Z66" s="374"/>
      <c r="AA66" s="359"/>
      <c r="AB66" s="374"/>
      <c r="AC66" s="359"/>
      <c r="AD66" s="374"/>
      <c r="AE66" s="374"/>
      <c r="AF66" s="367"/>
      <c r="AG66" s="367"/>
      <c r="AH66" s="367"/>
      <c r="AI66" s="367"/>
      <c r="AJ66" s="367"/>
      <c r="AK66" s="374"/>
      <c r="AL66" s="374"/>
    </row>
    <row r="67" spans="2:38" ht="15" hidden="1" thickTop="1" thickBot="1" x14ac:dyDescent="0.3">
      <c r="B67" s="16"/>
      <c r="C67" s="473" t="s">
        <v>127</v>
      </c>
      <c r="D67" s="474"/>
      <c r="E67" s="474"/>
      <c r="F67" s="85">
        <f>1.05*(N65+P65)-(N65+P65)</f>
        <v>0.57268262436853234</v>
      </c>
      <c r="G67" s="86" t="s">
        <v>124</v>
      </c>
      <c r="I67" s="16"/>
      <c r="J67" s="16"/>
      <c r="K67" s="471" t="str">
        <f>IF(AND(N67&lt;F67,N67&gt;0),"Druckdifferenz:","Druckdifferenz :")</f>
        <v>Druckdifferenz :</v>
      </c>
      <c r="L67" s="472"/>
      <c r="M67" s="472"/>
      <c r="N67" s="483">
        <f>K65-(N65+P65)</f>
        <v>35.88187043691476</v>
      </c>
      <c r="O67" s="484"/>
      <c r="P67" s="16"/>
      <c r="Q67" s="37" t="str">
        <f>IF(N67&lt;0,"Druckdifferenz &lt; 0 Pa",(IF(N67&gt;F67,"Druckdifferenz zu groß","Druckdifferenz I.O.")))</f>
        <v>Druckdifferenz zu groß</v>
      </c>
      <c r="R67" s="87"/>
      <c r="S67" s="365"/>
      <c r="T67" s="354"/>
      <c r="U67" s="369"/>
      <c r="V67" s="354"/>
      <c r="W67" s="354"/>
      <c r="X67" s="373"/>
      <c r="Y67" s="355"/>
      <c r="Z67" s="91"/>
      <c r="AA67" s="355"/>
      <c r="AB67" s="91"/>
      <c r="AC67" s="355"/>
      <c r="AD67" s="91"/>
      <c r="AE67" s="91"/>
      <c r="AF67" s="366"/>
      <c r="AG67" s="366"/>
      <c r="AH67" s="366"/>
      <c r="AI67" s="366"/>
      <c r="AJ67" s="366"/>
      <c r="AK67" s="91"/>
      <c r="AL67" s="91"/>
    </row>
    <row r="68" spans="2:38" ht="26.25" hidden="1" customHeight="1" x14ac:dyDescent="0.25">
      <c r="B68" s="16"/>
      <c r="C68" s="16"/>
      <c r="D68" s="16"/>
      <c r="E68" s="16"/>
      <c r="F68" s="16"/>
      <c r="G68" s="16"/>
      <c r="H68" s="16"/>
      <c r="I68" s="16"/>
      <c r="J68" s="16"/>
      <c r="K68" s="16"/>
      <c r="L68" s="16"/>
      <c r="M68" s="16"/>
      <c r="N68" s="16"/>
      <c r="O68" s="16"/>
      <c r="P68" s="16"/>
      <c r="Q68" s="16"/>
    </row>
    <row r="69" spans="2:38" ht="30" hidden="1" customHeight="1" x14ac:dyDescent="0.25">
      <c r="B69" s="460"/>
      <c r="C69" s="460"/>
      <c r="D69" s="460"/>
      <c r="E69" s="460"/>
      <c r="F69" s="460"/>
      <c r="G69" s="460"/>
      <c r="H69" s="460"/>
      <c r="I69" s="460"/>
      <c r="J69" s="460"/>
      <c r="K69" s="460"/>
      <c r="L69" s="460"/>
      <c r="M69" s="460"/>
      <c r="N69" s="460"/>
      <c r="O69" s="460"/>
      <c r="P69" s="460"/>
      <c r="Q69" s="16"/>
    </row>
    <row r="70" spans="2:38" ht="6.95" hidden="1" customHeight="1" x14ac:dyDescent="0.25">
      <c r="B70" s="201"/>
      <c r="C70" s="201"/>
      <c r="D70" s="201"/>
      <c r="E70" s="201"/>
      <c r="F70" s="201"/>
      <c r="G70" s="201"/>
      <c r="H70" s="201"/>
      <c r="I70" s="201"/>
      <c r="J70" s="201"/>
      <c r="K70" s="201"/>
      <c r="L70" s="201"/>
      <c r="M70" s="201"/>
      <c r="N70" s="201"/>
      <c r="O70" s="201"/>
      <c r="P70" s="201"/>
      <c r="Q70" s="16"/>
    </row>
    <row r="71" spans="2:38" ht="15" hidden="1" customHeight="1" x14ac:dyDescent="0.25">
      <c r="B71" s="202"/>
      <c r="C71" s="480"/>
      <c r="D71" s="480"/>
      <c r="E71" s="480"/>
      <c r="F71" s="480"/>
      <c r="G71" s="480"/>
      <c r="H71" s="480"/>
      <c r="I71" s="480"/>
      <c r="J71" s="480"/>
      <c r="K71" s="480"/>
      <c r="L71" s="480"/>
      <c r="M71" s="480"/>
      <c r="N71" s="480"/>
      <c r="O71" s="480"/>
      <c r="P71" s="480"/>
      <c r="Q71" s="16"/>
    </row>
    <row r="72" spans="2:38" ht="15" hidden="1" customHeight="1" x14ac:dyDescent="0.25">
      <c r="B72" s="199"/>
      <c r="C72" s="480"/>
      <c r="D72" s="480"/>
      <c r="E72" s="480"/>
      <c r="F72" s="480"/>
      <c r="G72" s="480"/>
      <c r="H72" s="480"/>
      <c r="I72" s="480"/>
      <c r="J72" s="480"/>
      <c r="K72" s="480"/>
      <c r="L72" s="480"/>
      <c r="M72" s="480"/>
      <c r="N72" s="480"/>
      <c r="O72" s="480"/>
      <c r="P72" s="480"/>
      <c r="Q72" s="16"/>
    </row>
    <row r="73" spans="2:38" ht="15" hidden="1" customHeight="1" thickBot="1" x14ac:dyDescent="0.3">
      <c r="B73" s="201"/>
      <c r="C73" s="201"/>
      <c r="D73" s="201"/>
      <c r="E73" s="201"/>
      <c r="F73" s="201"/>
      <c r="G73" s="201"/>
      <c r="H73" s="201"/>
      <c r="I73" s="201"/>
      <c r="J73" s="201"/>
      <c r="K73" s="201"/>
      <c r="L73" s="201"/>
      <c r="M73" s="201"/>
      <c r="N73" s="201"/>
      <c r="O73" s="201"/>
      <c r="P73" s="201"/>
      <c r="Q73" s="16"/>
    </row>
    <row r="74" spans="2:38" ht="48" hidden="1" customHeight="1" thickBot="1" x14ac:dyDescent="0.3">
      <c r="B74" s="458"/>
      <c r="C74" s="459"/>
      <c r="D74" s="461"/>
      <c r="E74" s="461"/>
      <c r="F74" s="461"/>
      <c r="G74" s="461"/>
      <c r="H74" s="461"/>
      <c r="I74" s="461"/>
      <c r="J74" s="461"/>
      <c r="K74" s="461"/>
      <c r="L74" s="461"/>
      <c r="M74" s="461"/>
      <c r="N74" s="461"/>
      <c r="O74" s="461"/>
      <c r="P74" s="462"/>
      <c r="Q74" s="286"/>
    </row>
    <row r="75" spans="2:38" hidden="1" x14ac:dyDescent="0.25">
      <c r="B75" s="482"/>
      <c r="C75" s="482"/>
      <c r="D75" s="482"/>
      <c r="E75" s="482"/>
      <c r="F75" s="482"/>
      <c r="G75" s="482"/>
      <c r="H75" s="481"/>
      <c r="I75" s="481"/>
      <c r="J75" s="481"/>
      <c r="K75" s="481"/>
      <c r="L75" s="481"/>
      <c r="M75" s="481"/>
      <c r="N75" s="481"/>
      <c r="O75" s="481"/>
      <c r="P75" s="481"/>
      <c r="Q75" s="16"/>
    </row>
    <row r="76" spans="2:38" hidden="1" x14ac:dyDescent="0.25">
      <c r="B76" s="16"/>
      <c r="C76" s="16"/>
      <c r="D76" s="16"/>
      <c r="E76" s="16"/>
      <c r="F76" s="16"/>
      <c r="G76" s="16"/>
      <c r="H76" s="16"/>
      <c r="I76" s="16"/>
      <c r="J76" s="16"/>
      <c r="K76" s="16"/>
      <c r="L76" s="16"/>
      <c r="M76" s="16"/>
      <c r="N76" s="16"/>
      <c r="O76" s="16"/>
      <c r="P76" s="16"/>
      <c r="Q76" s="16"/>
    </row>
    <row r="77" spans="2:38" hidden="1" x14ac:dyDescent="0.25">
      <c r="B77" s="16"/>
      <c r="C77" s="16"/>
      <c r="D77" s="16"/>
      <c r="E77" s="16"/>
      <c r="F77" s="16"/>
      <c r="G77" s="16"/>
      <c r="H77" s="16"/>
      <c r="I77" s="16"/>
      <c r="J77" s="16"/>
      <c r="K77" s="16"/>
      <c r="L77" s="16"/>
      <c r="M77" s="16"/>
      <c r="N77" s="16"/>
      <c r="O77" s="16"/>
      <c r="P77" s="16"/>
      <c r="Q77" s="16"/>
    </row>
    <row r="78" spans="2:38" hidden="1" x14ac:dyDescent="0.25">
      <c r="B78" s="16"/>
      <c r="C78" s="16"/>
      <c r="D78" s="16"/>
      <c r="E78" s="16"/>
      <c r="F78" s="16"/>
      <c r="G78" s="16"/>
      <c r="H78" s="16"/>
      <c r="I78" s="16"/>
      <c r="J78" s="16"/>
      <c r="K78" s="16"/>
      <c r="L78" s="16"/>
      <c r="M78" s="16"/>
      <c r="N78" s="16"/>
      <c r="O78" s="16"/>
      <c r="P78" s="16"/>
      <c r="Q78" s="16"/>
    </row>
    <row r="79" spans="2:38" hidden="1" x14ac:dyDescent="0.25"/>
    <row r="80" spans="2:38" hidden="1" x14ac:dyDescent="0.25"/>
    <row r="81" spans="2:2" hidden="1" x14ac:dyDescent="0.25"/>
    <row r="82" spans="2:2" hidden="1" x14ac:dyDescent="0.25">
      <c r="B82" s="121"/>
    </row>
    <row r="83" spans="2:2" hidden="1" x14ac:dyDescent="0.25"/>
    <row r="84" spans="2:2" hidden="1" x14ac:dyDescent="0.25"/>
    <row r="85" spans="2:2" hidden="1" x14ac:dyDescent="0.25"/>
    <row r="86" spans="2:2" hidden="1" x14ac:dyDescent="0.25"/>
    <row r="87" spans="2:2" hidden="1" x14ac:dyDescent="0.25">
      <c r="B87" s="14" t="s">
        <v>391</v>
      </c>
    </row>
    <row r="88" spans="2:2" hidden="1" x14ac:dyDescent="0.25">
      <c r="B88" s="14" t="s">
        <v>390</v>
      </c>
    </row>
    <row r="89" spans="2:2" hidden="1" x14ac:dyDescent="0.25"/>
    <row r="90" spans="2:2" hidden="1" x14ac:dyDescent="0.25"/>
    <row r="91" spans="2:2" hidden="1" x14ac:dyDescent="0.25"/>
    <row r="92" spans="2:2" hidden="1" x14ac:dyDescent="0.25"/>
    <row r="93" spans="2:2" hidden="1" x14ac:dyDescent="0.25"/>
    <row r="94" spans="2:2" hidden="1" x14ac:dyDescent="0.25"/>
    <row r="95" spans="2:2" hidden="1" x14ac:dyDescent="0.25"/>
    <row r="96" spans="2:2" hidden="1" x14ac:dyDescent="0.25"/>
    <row r="97" spans="2:3" hidden="1" x14ac:dyDescent="0.25"/>
    <row r="98" spans="2:3" hidden="1" x14ac:dyDescent="0.25"/>
    <row r="99" spans="2:3" hidden="1" x14ac:dyDescent="0.25">
      <c r="B99" s="29"/>
      <c r="C99" s="29"/>
    </row>
    <row r="100" spans="2:3" hidden="1" x14ac:dyDescent="0.25">
      <c r="B100" s="18" t="str">
        <f>Konstante!B39</f>
        <v>Bezeichung</v>
      </c>
      <c r="C100" s="18" t="str">
        <f>Konstante!A39</f>
        <v>Nummer</v>
      </c>
    </row>
    <row r="101" spans="2:3" hidden="1" x14ac:dyDescent="0.25">
      <c r="B101" s="18" t="str">
        <f>Konstante!B40</f>
        <v>Dreischalig Keramisch D 14 cm</v>
      </c>
      <c r="C101" s="18">
        <f>Konstante!A40</f>
        <v>1</v>
      </c>
    </row>
    <row r="102" spans="2:3" hidden="1" x14ac:dyDescent="0.25">
      <c r="B102" s="18" t="str">
        <f>Konstante!B41</f>
        <v>Dreischalig Keramisch D 16 cm</v>
      </c>
      <c r="C102" s="18">
        <f>Konstante!A41</f>
        <v>2</v>
      </c>
    </row>
    <row r="103" spans="2:3" hidden="1" x14ac:dyDescent="0.25">
      <c r="B103" s="18" t="str">
        <f>Konstante!B42</f>
        <v>Dreischalig Keramisch D 18 cm</v>
      </c>
      <c r="C103" s="18">
        <f>Konstante!A42</f>
        <v>3</v>
      </c>
    </row>
    <row r="104" spans="2:3" hidden="1" x14ac:dyDescent="0.25">
      <c r="B104" s="18" t="str">
        <f>Konstante!B43</f>
        <v>Dreischalig Keramisch D 20 cm</v>
      </c>
      <c r="C104" s="18">
        <f>Konstante!A43</f>
        <v>4</v>
      </c>
    </row>
    <row r="105" spans="2:3" hidden="1" x14ac:dyDescent="0.25">
      <c r="B105" s="18" t="str">
        <f>Konstante!B44</f>
        <v>Dreischalig Keramisch D 22 cm</v>
      </c>
      <c r="C105" s="18">
        <f>Konstante!A44</f>
        <v>5</v>
      </c>
    </row>
    <row r="106" spans="2:3" hidden="1" x14ac:dyDescent="0.25">
      <c r="B106" s="18" t="str">
        <f>Konstante!B45</f>
        <v>Dreischalig Keramisch D 25 cm</v>
      </c>
      <c r="C106" s="18">
        <f>Konstante!A45</f>
        <v>6</v>
      </c>
    </row>
    <row r="107" spans="2:3" hidden="1" x14ac:dyDescent="0.25">
      <c r="B107" s="18" t="str">
        <f>Konstante!B46</f>
        <v>Dreischalig Keramisch D 28 cm</v>
      </c>
      <c r="C107" s="18">
        <v>7</v>
      </c>
    </row>
    <row r="108" spans="2:3" hidden="1" x14ac:dyDescent="0.25">
      <c r="B108" s="18" t="str">
        <f>Konstante!B47</f>
        <v>Dreischalig Keramisch D 30 cm</v>
      </c>
      <c r="C108" s="18">
        <v>8</v>
      </c>
    </row>
    <row r="109" spans="2:3" hidden="1" x14ac:dyDescent="0.25">
      <c r="B109" s="18" t="str">
        <f>Konstante!B48</f>
        <v>Systemkamin 3-schalig 14x14 cm</v>
      </c>
      <c r="C109" s="18">
        <v>9</v>
      </c>
    </row>
    <row r="110" spans="2:3" hidden="1" x14ac:dyDescent="0.25">
      <c r="B110" s="18" t="str">
        <f>Konstante!B49</f>
        <v>Systemkamin 3-schalig 16x16 cm</v>
      </c>
      <c r="C110" s="18">
        <v>10</v>
      </c>
    </row>
    <row r="111" spans="2:3" hidden="1" x14ac:dyDescent="0.25">
      <c r="B111" s="18" t="str">
        <f>Konstante!B50</f>
        <v>Systemkamin 3-schalig 18x18 cm</v>
      </c>
      <c r="C111" s="18">
        <v>11</v>
      </c>
    </row>
    <row r="112" spans="2:3" hidden="1" x14ac:dyDescent="0.25">
      <c r="B112" s="18" t="str">
        <f>Konstante!B51</f>
        <v>Systemkamin 3-schalig 20x20 cm</v>
      </c>
      <c r="C112" s="18">
        <v>12</v>
      </c>
    </row>
    <row r="113" spans="2:3" hidden="1" x14ac:dyDescent="0.25">
      <c r="B113" s="18" t="str">
        <f>Konstante!B52</f>
        <v>Systemkamin 3-schalig 25x25 cm</v>
      </c>
      <c r="C113" s="18">
        <v>13</v>
      </c>
    </row>
    <row r="114" spans="2:3" hidden="1" x14ac:dyDescent="0.25">
      <c r="B114" s="18" t="str">
        <f>Konstante!B53</f>
        <v>Gemauert 14x14 cm</v>
      </c>
      <c r="C114" s="18">
        <v>14</v>
      </c>
    </row>
    <row r="115" spans="2:3" hidden="1" x14ac:dyDescent="0.25">
      <c r="B115" s="18" t="str">
        <f>Konstante!B54</f>
        <v>Gemauert 16x16 cm</v>
      </c>
      <c r="C115" s="18">
        <v>15</v>
      </c>
    </row>
    <row r="116" spans="2:3" hidden="1" x14ac:dyDescent="0.25">
      <c r="B116" s="18" t="str">
        <f>Konstante!B55</f>
        <v>Gemauert 18x18 cm</v>
      </c>
      <c r="C116" s="18">
        <v>16</v>
      </c>
    </row>
    <row r="117" spans="2:3" hidden="1" x14ac:dyDescent="0.25">
      <c r="B117" s="18" t="str">
        <f>Konstante!B56</f>
        <v>Gemauert 20x20 cm</v>
      </c>
      <c r="C117" s="18">
        <v>17</v>
      </c>
    </row>
    <row r="118" spans="2:3" hidden="1" x14ac:dyDescent="0.25">
      <c r="B118" s="18" t="str">
        <f>Konstante!B57</f>
        <v>Gemauert 25x25 cm</v>
      </c>
      <c r="C118" s="18">
        <v>18</v>
      </c>
    </row>
    <row r="119" spans="2:3" hidden="1" x14ac:dyDescent="0.25">
      <c r="B119" s="18" t="str">
        <f>Konstante!B58</f>
        <v>Gemauert 25x36 cm</v>
      </c>
      <c r="C119" s="18">
        <v>19</v>
      </c>
    </row>
    <row r="120" spans="2:3" hidden="1" x14ac:dyDescent="0.25">
      <c r="B120" s="18" t="str">
        <f>Konstante!B59</f>
        <v>Gemauert 36x36 cm</v>
      </c>
      <c r="C120" s="18">
        <v>20</v>
      </c>
    </row>
    <row r="121" spans="2:3" hidden="1" x14ac:dyDescent="0.25">
      <c r="B121" s="18" t="str">
        <f>Konstante!B60</f>
        <v>Gemauert 50x36 cm</v>
      </c>
      <c r="C121" s="18">
        <v>21</v>
      </c>
    </row>
    <row r="122" spans="2:3" hidden="1" x14ac:dyDescent="0.25">
      <c r="B122" s="18" t="str">
        <f>Konstante!B61</f>
        <v>Gemauert 50x50 cm</v>
      </c>
      <c r="C122" s="18">
        <v>22</v>
      </c>
    </row>
    <row r="123" spans="2:3" hidden="1" x14ac:dyDescent="0.25">
      <c r="B123" s="18" t="str">
        <f>Konstante!B62</f>
        <v>Metallfang D 13 cm</v>
      </c>
      <c r="C123" s="18">
        <v>23</v>
      </c>
    </row>
    <row r="124" spans="2:3" hidden="1" x14ac:dyDescent="0.25">
      <c r="B124" s="18" t="str">
        <f>Konstante!B63</f>
        <v>Metallfang D 15 cm</v>
      </c>
      <c r="C124" s="18">
        <v>24</v>
      </c>
    </row>
    <row r="125" spans="2:3" hidden="1" x14ac:dyDescent="0.25">
      <c r="B125" s="18" t="str">
        <f>Konstante!B64</f>
        <v>Metallfang D 18 cm</v>
      </c>
      <c r="C125" s="18">
        <v>25</v>
      </c>
    </row>
    <row r="126" spans="2:3" hidden="1" x14ac:dyDescent="0.25">
      <c r="B126" s="18" t="str">
        <f>Konstante!B65</f>
        <v>Metallfang D 20 cm</v>
      </c>
      <c r="C126" s="18">
        <v>26</v>
      </c>
    </row>
    <row r="127" spans="2:3" hidden="1" x14ac:dyDescent="0.25">
      <c r="B127" s="18" t="str">
        <f>Konstante!B66</f>
        <v>Metallfang D 25 cm</v>
      </c>
      <c r="C127" s="18">
        <v>27</v>
      </c>
    </row>
    <row r="128" spans="2:3" hidden="1" x14ac:dyDescent="0.25">
      <c r="B128" s="18"/>
      <c r="C128" s="18">
        <v>28</v>
      </c>
    </row>
    <row r="129" spans="2:3" hidden="1" x14ac:dyDescent="0.25">
      <c r="B129" s="16"/>
      <c r="C129" s="16"/>
    </row>
    <row r="130" spans="2:3" hidden="1" x14ac:dyDescent="0.25">
      <c r="B130" s="18" t="str">
        <f>Konstante!B75</f>
        <v>Bezeichung</v>
      </c>
      <c r="C130" s="18" t="str">
        <f>Konstante!A75</f>
        <v>Nummer</v>
      </c>
    </row>
    <row r="131" spans="2:3" hidden="1" x14ac:dyDescent="0.25">
      <c r="B131" s="18" t="str">
        <f>Konstante!B76</f>
        <v>Schamottepoterie 12,5x12,5 cm</v>
      </c>
      <c r="C131" s="18">
        <f>Konstante!A76</f>
        <v>1</v>
      </c>
    </row>
    <row r="132" spans="2:3" hidden="1" x14ac:dyDescent="0.25">
      <c r="B132" s="18" t="str">
        <f>Konstante!B77</f>
        <v>Schamottepoterie 15x15 cm</v>
      </c>
      <c r="C132" s="18">
        <f>Konstante!A77</f>
        <v>2</v>
      </c>
    </row>
    <row r="133" spans="2:3" hidden="1" x14ac:dyDescent="0.25">
      <c r="B133" s="18" t="str">
        <f>Konstante!B78</f>
        <v>Schamottepoterie 18x18 cm</v>
      </c>
      <c r="C133" s="18">
        <f>Konstante!A78</f>
        <v>3</v>
      </c>
    </row>
    <row r="134" spans="2:3" hidden="1" x14ac:dyDescent="0.25">
      <c r="B134" s="18" t="str">
        <f>Konstante!B79</f>
        <v>Schamottepoterie 20x20 cm</v>
      </c>
      <c r="C134" s="18">
        <v>4</v>
      </c>
    </row>
    <row r="135" spans="2:3" hidden="1" x14ac:dyDescent="0.25">
      <c r="B135" s="18" t="str">
        <f>Konstante!B80</f>
        <v>Schamottepoterie 25x25 cm</v>
      </c>
      <c r="C135" s="18">
        <v>5</v>
      </c>
    </row>
    <row r="136" spans="2:3" hidden="1" x14ac:dyDescent="0.25">
      <c r="B136" s="18" t="str">
        <f>Konstante!B81</f>
        <v>Metallverbindungsstück D13 cm</v>
      </c>
      <c r="C136" s="18">
        <v>6</v>
      </c>
    </row>
    <row r="137" spans="2:3" hidden="1" x14ac:dyDescent="0.25">
      <c r="B137" s="18" t="str">
        <f>Konstante!B82</f>
        <v>Metallverbindungsstück D15 cm</v>
      </c>
      <c r="C137" s="18">
        <v>7</v>
      </c>
    </row>
    <row r="138" spans="2:3" hidden="1" x14ac:dyDescent="0.25">
      <c r="B138" s="18" t="str">
        <f>Konstante!B83</f>
        <v>Metallverbindungsstück D18 cm</v>
      </c>
      <c r="C138" s="18">
        <v>8</v>
      </c>
    </row>
    <row r="139" spans="2:3" hidden="1" x14ac:dyDescent="0.25">
      <c r="B139" s="18" t="str">
        <f>Konstante!B84</f>
        <v>Metallverbindungsstück D 20 cm</v>
      </c>
      <c r="C139" s="18">
        <v>9</v>
      </c>
    </row>
    <row r="140" spans="2:3" hidden="1" x14ac:dyDescent="0.25">
      <c r="B140" s="18" t="str">
        <f>Konstante!B85</f>
        <v>Metallverbindungsstück D 25 cm</v>
      </c>
      <c r="C140" s="18">
        <v>10</v>
      </c>
    </row>
    <row r="141" spans="2:3" hidden="1" x14ac:dyDescent="0.25"/>
    <row r="142" spans="2:3" hidden="1" x14ac:dyDescent="0.25">
      <c r="B142" s="18" t="str">
        <f>Konstante!B139</f>
        <v>Bezeichnung</v>
      </c>
      <c r="C142" s="18" t="str">
        <f>Konstante!A139</f>
        <v>Nummer</v>
      </c>
    </row>
    <row r="143" spans="2:3" hidden="1" x14ac:dyDescent="0.25">
      <c r="B143" s="18" t="s">
        <v>134</v>
      </c>
      <c r="C143" s="18">
        <f>Konstante!A140</f>
        <v>1</v>
      </c>
    </row>
    <row r="144" spans="2:3" hidden="1" x14ac:dyDescent="0.25">
      <c r="B144" s="18" t="str">
        <f>Konstante!B141</f>
        <v>Biofeuerraum 3</v>
      </c>
      <c r="C144" s="18">
        <f>Konstante!A141</f>
        <v>2</v>
      </c>
    </row>
    <row r="145" spans="2:3" hidden="1" x14ac:dyDescent="0.25">
      <c r="B145" s="18" t="str">
        <f>Konstante!B142</f>
        <v>Biofeuerraum 2</v>
      </c>
      <c r="C145" s="18">
        <v>3</v>
      </c>
    </row>
    <row r="146" spans="2:3" hidden="1" x14ac:dyDescent="0.25"/>
    <row r="147" spans="2:3" hidden="1" x14ac:dyDescent="0.25"/>
    <row r="148" spans="2:3" hidden="1" x14ac:dyDescent="0.25"/>
    <row r="149" spans="2:3" hidden="1" x14ac:dyDescent="0.25">
      <c r="B149" s="18" t="s">
        <v>129</v>
      </c>
      <c r="C149" s="18">
        <v>1</v>
      </c>
    </row>
    <row r="150" spans="2:3" hidden="1" x14ac:dyDescent="0.25">
      <c r="B150" s="18" t="s">
        <v>129</v>
      </c>
      <c r="C150" s="18">
        <v>2</v>
      </c>
    </row>
    <row r="151" spans="2:3" hidden="1" x14ac:dyDescent="0.25">
      <c r="B151" s="18" t="s">
        <v>129</v>
      </c>
      <c r="C151" s="18">
        <v>3</v>
      </c>
    </row>
    <row r="152" spans="2:3" hidden="1" x14ac:dyDescent="0.25">
      <c r="B152" s="18" t="s">
        <v>129</v>
      </c>
      <c r="C152" s="18">
        <v>4</v>
      </c>
    </row>
    <row r="153" spans="2:3" hidden="1" x14ac:dyDescent="0.25">
      <c r="B153" s="18" t="s">
        <v>129</v>
      </c>
      <c r="C153" s="18">
        <v>5</v>
      </c>
    </row>
    <row r="154" spans="2:3" hidden="1" x14ac:dyDescent="0.25">
      <c r="B154" s="18" t="s">
        <v>129</v>
      </c>
      <c r="C154" s="18">
        <v>6</v>
      </c>
    </row>
    <row r="155" spans="2:3" hidden="1" x14ac:dyDescent="0.25">
      <c r="B155" s="18" t="s">
        <v>129</v>
      </c>
      <c r="C155" s="18">
        <v>7</v>
      </c>
    </row>
    <row r="156" spans="2:3" hidden="1" x14ac:dyDescent="0.25">
      <c r="B156" s="18" t="s">
        <v>129</v>
      </c>
      <c r="C156" s="18">
        <v>8</v>
      </c>
    </row>
    <row r="157" spans="2:3" hidden="1" x14ac:dyDescent="0.25">
      <c r="B157" s="18" t="s">
        <v>129</v>
      </c>
      <c r="C157" s="18">
        <v>9</v>
      </c>
    </row>
    <row r="158" spans="2:3" hidden="1" x14ac:dyDescent="0.25">
      <c r="B158" s="18" t="s">
        <v>129</v>
      </c>
      <c r="C158" s="18">
        <v>10</v>
      </c>
    </row>
    <row r="159" spans="2:3" hidden="1" x14ac:dyDescent="0.25">
      <c r="B159" s="18" t="s">
        <v>129</v>
      </c>
      <c r="C159" s="18">
        <v>11</v>
      </c>
    </row>
    <row r="160" spans="2:3" hidden="1" x14ac:dyDescent="0.25">
      <c r="B160" s="18" t="s">
        <v>129</v>
      </c>
      <c r="C160" s="18">
        <v>12</v>
      </c>
    </row>
    <row r="161" spans="2:3" hidden="1" x14ac:dyDescent="0.25">
      <c r="B161" s="18" t="s">
        <v>129</v>
      </c>
      <c r="C161" s="18">
        <v>13</v>
      </c>
    </row>
    <row r="162" spans="2:3" hidden="1" x14ac:dyDescent="0.25">
      <c r="B162" s="18" t="s">
        <v>129</v>
      </c>
      <c r="C162" s="18">
        <v>14</v>
      </c>
    </row>
    <row r="163" spans="2:3" hidden="1" x14ac:dyDescent="0.25">
      <c r="B163" s="18" t="s">
        <v>129</v>
      </c>
      <c r="C163" s="18">
        <v>15</v>
      </c>
    </row>
    <row r="164" spans="2:3" hidden="1" x14ac:dyDescent="0.25">
      <c r="B164" s="18" t="s">
        <v>129</v>
      </c>
      <c r="C164" s="18">
        <v>16</v>
      </c>
    </row>
    <row r="165" spans="2:3" hidden="1" x14ac:dyDescent="0.25">
      <c r="B165" s="18" t="s">
        <v>129</v>
      </c>
      <c r="C165" s="18">
        <v>17</v>
      </c>
    </row>
    <row r="166" spans="2:3" hidden="1" x14ac:dyDescent="0.25">
      <c r="B166" s="18" t="s">
        <v>129</v>
      </c>
      <c r="C166" s="18">
        <v>18</v>
      </c>
    </row>
    <row r="167" spans="2:3" hidden="1" x14ac:dyDescent="0.25">
      <c r="B167" s="18" t="s">
        <v>129</v>
      </c>
      <c r="C167" s="18">
        <v>19</v>
      </c>
    </row>
    <row r="168" spans="2:3" hidden="1" x14ac:dyDescent="0.25">
      <c r="B168" s="18" t="s">
        <v>129</v>
      </c>
      <c r="C168" s="18">
        <v>20</v>
      </c>
    </row>
    <row r="169" spans="2:3" hidden="1" x14ac:dyDescent="0.25">
      <c r="B169" s="18" t="s">
        <v>129</v>
      </c>
      <c r="C169" s="18">
        <v>21</v>
      </c>
    </row>
    <row r="170" spans="2:3" hidden="1" x14ac:dyDescent="0.25">
      <c r="B170" s="18" t="s">
        <v>129</v>
      </c>
      <c r="C170" s="18">
        <v>22</v>
      </c>
    </row>
    <row r="171" spans="2:3" hidden="1" x14ac:dyDescent="0.25">
      <c r="B171" s="18" t="s">
        <v>129</v>
      </c>
      <c r="C171" s="18">
        <v>23</v>
      </c>
    </row>
    <row r="172" spans="2:3" hidden="1" x14ac:dyDescent="0.25">
      <c r="B172" s="18" t="s">
        <v>129</v>
      </c>
      <c r="C172" s="18">
        <v>24</v>
      </c>
    </row>
    <row r="173" spans="2:3" hidden="1" x14ac:dyDescent="0.25">
      <c r="B173" s="18" t="s">
        <v>129</v>
      </c>
      <c r="C173" s="18">
        <v>25</v>
      </c>
    </row>
    <row r="174" spans="2:3" hidden="1" x14ac:dyDescent="0.25">
      <c r="B174" s="18" t="s">
        <v>129</v>
      </c>
      <c r="C174" s="18">
        <v>26</v>
      </c>
    </row>
    <row r="175" spans="2:3" hidden="1" x14ac:dyDescent="0.25">
      <c r="B175" s="18" t="s">
        <v>129</v>
      </c>
      <c r="C175" s="18">
        <v>27</v>
      </c>
    </row>
    <row r="176" spans="2:3" hidden="1" x14ac:dyDescent="0.25">
      <c r="B176" s="18" t="s">
        <v>129</v>
      </c>
      <c r="C176" s="18">
        <v>28</v>
      </c>
    </row>
    <row r="177" spans="2:3" hidden="1" x14ac:dyDescent="0.25">
      <c r="B177" s="18" t="s">
        <v>129</v>
      </c>
      <c r="C177" s="18">
        <v>29</v>
      </c>
    </row>
    <row r="178" spans="2:3" hidden="1" x14ac:dyDescent="0.25"/>
    <row r="179" spans="2:3" hidden="1" x14ac:dyDescent="0.25"/>
    <row r="180" spans="2:3" hidden="1" x14ac:dyDescent="0.25"/>
    <row r="181" spans="2:3" hidden="1" x14ac:dyDescent="0.25"/>
    <row r="182" spans="2:3" hidden="1" x14ac:dyDescent="0.25">
      <c r="C182" s="18" t="s">
        <v>309</v>
      </c>
    </row>
    <row r="183" spans="2:3" hidden="1" x14ac:dyDescent="0.25">
      <c r="C183" s="18" t="s">
        <v>310</v>
      </c>
    </row>
    <row r="184" spans="2:3" hidden="1" x14ac:dyDescent="0.25">
      <c r="C184" s="18" t="s">
        <v>311</v>
      </c>
    </row>
    <row r="185" spans="2:3" hidden="1" x14ac:dyDescent="0.25">
      <c r="C185" s="18" t="s">
        <v>420</v>
      </c>
    </row>
    <row r="186" spans="2:3" hidden="1" x14ac:dyDescent="0.25">
      <c r="C186" s="18" t="s">
        <v>312</v>
      </c>
    </row>
    <row r="187" spans="2:3" hidden="1" x14ac:dyDescent="0.25">
      <c r="C187" s="18" t="s">
        <v>313</v>
      </c>
    </row>
    <row r="188" spans="2:3" hidden="1" x14ac:dyDescent="0.25">
      <c r="C188" s="18" t="s">
        <v>315</v>
      </c>
    </row>
    <row r="189" spans="2:3" hidden="1" x14ac:dyDescent="0.25">
      <c r="C189" s="18" t="s">
        <v>316</v>
      </c>
    </row>
    <row r="190" spans="2:3" hidden="1" x14ac:dyDescent="0.25">
      <c r="C190" s="18" t="s">
        <v>317</v>
      </c>
    </row>
    <row r="191" spans="2:3" hidden="1" x14ac:dyDescent="0.25">
      <c r="C191" s="18" t="s">
        <v>318</v>
      </c>
    </row>
    <row r="192" spans="2:3" hidden="1" x14ac:dyDescent="0.25">
      <c r="C192" s="18" t="s">
        <v>314</v>
      </c>
    </row>
    <row r="193" spans="3:3" hidden="1" x14ac:dyDescent="0.25">
      <c r="C193" s="18" t="s">
        <v>334</v>
      </c>
    </row>
    <row r="194" spans="3:3" hidden="1" x14ac:dyDescent="0.25">
      <c r="C194" s="18" t="s">
        <v>319</v>
      </c>
    </row>
    <row r="195" spans="3:3" hidden="1" x14ac:dyDescent="0.25">
      <c r="C195" s="18" t="s">
        <v>320</v>
      </c>
    </row>
    <row r="196" spans="3:3" hidden="1" x14ac:dyDescent="0.25">
      <c r="C196" s="18" t="s">
        <v>321</v>
      </c>
    </row>
    <row r="197" spans="3:3" hidden="1" x14ac:dyDescent="0.25">
      <c r="C197" s="18" t="s">
        <v>322</v>
      </c>
    </row>
    <row r="198" spans="3:3" hidden="1" x14ac:dyDescent="0.25">
      <c r="C198" s="18" t="s">
        <v>323</v>
      </c>
    </row>
    <row r="199" spans="3:3" hidden="1" x14ac:dyDescent="0.25">
      <c r="C199" s="18" t="s">
        <v>324</v>
      </c>
    </row>
    <row r="200" spans="3:3" hidden="1" x14ac:dyDescent="0.25">
      <c r="C200" s="18" t="s">
        <v>325</v>
      </c>
    </row>
    <row r="201" spans="3:3" hidden="1" x14ac:dyDescent="0.25">
      <c r="C201" s="18" t="s">
        <v>326</v>
      </c>
    </row>
    <row r="202" spans="3:3" hidden="1" x14ac:dyDescent="0.25">
      <c r="C202" s="18" t="s">
        <v>327</v>
      </c>
    </row>
    <row r="203" spans="3:3" hidden="1" x14ac:dyDescent="0.25">
      <c r="C203" s="18" t="s">
        <v>328</v>
      </c>
    </row>
    <row r="204" spans="3:3" hidden="1" x14ac:dyDescent="0.25">
      <c r="C204" s="18"/>
    </row>
    <row r="205" spans="3:3" hidden="1" x14ac:dyDescent="0.25">
      <c r="C205" s="18"/>
    </row>
    <row r="206" spans="3:3" hidden="1" x14ac:dyDescent="0.25">
      <c r="C206" s="18"/>
    </row>
    <row r="207" spans="3:3" hidden="1" x14ac:dyDescent="0.25">
      <c r="C207" s="18"/>
    </row>
    <row r="208" spans="3:3" hidden="1" x14ac:dyDescent="0.25">
      <c r="C208" s="18"/>
    </row>
    <row r="209" spans="2:7" hidden="1" x14ac:dyDescent="0.25">
      <c r="C209" s="18"/>
    </row>
    <row r="210" spans="2:7" hidden="1" x14ac:dyDescent="0.25">
      <c r="C210" s="18"/>
    </row>
    <row r="211" spans="2:7" hidden="1" x14ac:dyDescent="0.25">
      <c r="C211" s="18"/>
    </row>
    <row r="212" spans="2:7" hidden="1" x14ac:dyDescent="0.25"/>
    <row r="213" spans="2:7" hidden="1" x14ac:dyDescent="0.25"/>
    <row r="214" spans="2:7" hidden="1" x14ac:dyDescent="0.25"/>
    <row r="215" spans="2:7" hidden="1" x14ac:dyDescent="0.25"/>
    <row r="216" spans="2:7" hidden="1" x14ac:dyDescent="0.25">
      <c r="B216" s="455" t="s">
        <v>330</v>
      </c>
      <c r="C216" s="455"/>
      <c r="D216" s="455"/>
      <c r="E216" s="455"/>
      <c r="F216" s="455"/>
      <c r="G216" s="455"/>
    </row>
    <row r="217" spans="2:7" hidden="1" x14ac:dyDescent="0.25">
      <c r="B217" s="14" t="str">
        <f>IF(AND(G28="Oben",G29="Unten"),"Nicht möglich",IF(AND(G28="Rechts",G29="Links"),"Nicht möglich",IF(AND(G28="Hinten",G29="Vorne"),"Nicht möglich",IF(AND(G28="Links",G29="Rechts"),"Nicht möglich",IF(AND(G28="Unten",G29="Oben"),"Nicht möglich",IF(AND(G28="Vorne",G29="Hinten"),"Nicht möglich",IF(AND(G28="L-U",F28=90),"Nicht möglich","OK")))))))</f>
        <v>OK</v>
      </c>
      <c r="C217" s="14" t="str">
        <f t="shared" ref="C217:C228" si="29">IF(AND(F28=90,OR(G28="L-U",G28="R-U",G28="V-U",G28="H-U",G28="L-O",G28="R-O",G28="V-O",G28="H-O")),"Nicht möglich","OK")</f>
        <v>OK</v>
      </c>
    </row>
    <row r="218" spans="2:7" hidden="1" x14ac:dyDescent="0.25">
      <c r="B218" s="14" t="str">
        <f t="shared" ref="B218:B246" si="30">IF(AND(G29="Oben",G30="Unten"),"Nicht möglich",IF(AND(G29="Rechts",G30="Links"),"Nicht möglich",IF(AND(G29="Hinten",G30="Vorne"),"Nicht möglich",IF(AND(G29="Links",G30="Rechts"),"Nicht möglich",IF(AND(G29="Unten",G30="Oben"),"Nicht möglich",IF(AND(G29="Vorne",G30="Hinten"),"Nicht möglich","OK"))))))</f>
        <v>OK</v>
      </c>
      <c r="C218" s="14" t="str">
        <f t="shared" si="29"/>
        <v>OK</v>
      </c>
    </row>
    <row r="219" spans="2:7" hidden="1" x14ac:dyDescent="0.25">
      <c r="B219" s="14" t="str">
        <f>IF(AND(G30="Oben",G31="Unten"),"Nicht möglich",IF(AND(G30="Rechts",G31="Links"),"Nicht möglich",IF(AND(G30="Hinten",G31="Vorne"),"Nicht möglich",IF(AND(G30="Links",G31="Rechts"),"Nicht möglich",IF(AND(G30="Unten",G31="Oben"),"Nicht möglich",IF(AND(G30="Vorne",G31="Hinten"),"Nicht möglich","OK"))))))</f>
        <v>OK</v>
      </c>
      <c r="C219" s="14" t="str">
        <f t="shared" si="29"/>
        <v>OK</v>
      </c>
    </row>
    <row r="220" spans="2:7" hidden="1" x14ac:dyDescent="0.25">
      <c r="B220" s="14" t="str">
        <f>IF(AND(G31="Oben",G32="Unten"),"Nicht möglich",IF(AND(G31="Rechts",G32="Links"),"Nicht möglich",IF(AND(G31="Hinten",G32="Vorne"),"Nicht möglich",IF(AND(G31="Links",G32="Rechts"),"Nicht möglich",IF(AND(G31="Unten",G32="Oben"),"Nicht möglich",IF(AND(G31="Vorne",G32="Hinten"),"Nicht möglich","OK"))))))</f>
        <v>OK</v>
      </c>
      <c r="C220" s="14" t="str">
        <f t="shared" si="29"/>
        <v>OK</v>
      </c>
    </row>
    <row r="221" spans="2:7" hidden="1" x14ac:dyDescent="0.25">
      <c r="B221" s="14" t="str">
        <f t="shared" si="30"/>
        <v>OK</v>
      </c>
      <c r="C221" s="14" t="str">
        <f t="shared" si="29"/>
        <v>OK</v>
      </c>
    </row>
    <row r="222" spans="2:7" hidden="1" x14ac:dyDescent="0.25">
      <c r="B222" s="14" t="str">
        <f t="shared" si="30"/>
        <v>OK</v>
      </c>
      <c r="C222" s="14" t="str">
        <f t="shared" si="29"/>
        <v>OK</v>
      </c>
    </row>
    <row r="223" spans="2:7" hidden="1" x14ac:dyDescent="0.25">
      <c r="B223" s="14" t="str">
        <f t="shared" si="30"/>
        <v>OK</v>
      </c>
      <c r="C223" s="14" t="str">
        <f t="shared" si="29"/>
        <v>OK</v>
      </c>
    </row>
    <row r="224" spans="2:7" hidden="1" x14ac:dyDescent="0.25">
      <c r="B224" s="14" t="str">
        <f t="shared" si="30"/>
        <v>OK</v>
      </c>
      <c r="C224" s="14" t="str">
        <f t="shared" si="29"/>
        <v>OK</v>
      </c>
    </row>
    <row r="225" spans="2:3" hidden="1" x14ac:dyDescent="0.25">
      <c r="B225" s="14" t="str">
        <f t="shared" si="30"/>
        <v>OK</v>
      </c>
      <c r="C225" s="14" t="str">
        <f t="shared" si="29"/>
        <v>OK</v>
      </c>
    </row>
    <row r="226" spans="2:3" hidden="1" x14ac:dyDescent="0.25">
      <c r="B226" s="14" t="str">
        <f t="shared" si="30"/>
        <v>OK</v>
      </c>
      <c r="C226" s="14" t="str">
        <f t="shared" si="29"/>
        <v>OK</v>
      </c>
    </row>
    <row r="227" spans="2:3" hidden="1" x14ac:dyDescent="0.25">
      <c r="B227" s="14" t="str">
        <f t="shared" si="30"/>
        <v>OK</v>
      </c>
      <c r="C227" s="14" t="str">
        <f t="shared" si="29"/>
        <v>OK</v>
      </c>
    </row>
    <row r="228" spans="2:3" hidden="1" x14ac:dyDescent="0.25">
      <c r="B228" s="14" t="str">
        <f t="shared" si="30"/>
        <v>OK</v>
      </c>
      <c r="C228" s="14" t="str">
        <f t="shared" si="29"/>
        <v>OK</v>
      </c>
    </row>
    <row r="229" spans="2:3" hidden="1" x14ac:dyDescent="0.25">
      <c r="B229" s="14" t="str">
        <f t="shared" si="30"/>
        <v>OK</v>
      </c>
      <c r="C229" s="14" t="str">
        <f t="shared" ref="C229:C246" si="31">IF(AND(F40=90,OR(G40="L-U",G40="R-U",G40="V-U",G40="H-U",G40="L-O",G40="R-O",G40="V-O",G40="H-O")),"Nicht möglich","OK")</f>
        <v>OK</v>
      </c>
    </row>
    <row r="230" spans="2:3" hidden="1" x14ac:dyDescent="0.25">
      <c r="B230" s="14" t="str">
        <f t="shared" si="30"/>
        <v>OK</v>
      </c>
      <c r="C230" s="14" t="str">
        <f t="shared" si="31"/>
        <v>OK</v>
      </c>
    </row>
    <row r="231" spans="2:3" hidden="1" x14ac:dyDescent="0.25">
      <c r="B231" s="14" t="str">
        <f t="shared" si="30"/>
        <v>OK</v>
      </c>
      <c r="C231" s="14" t="str">
        <f t="shared" si="31"/>
        <v>OK</v>
      </c>
    </row>
    <row r="232" spans="2:3" hidden="1" x14ac:dyDescent="0.25">
      <c r="B232" s="14" t="str">
        <f t="shared" si="30"/>
        <v>OK</v>
      </c>
      <c r="C232" s="14" t="str">
        <f t="shared" si="31"/>
        <v>OK</v>
      </c>
    </row>
    <row r="233" spans="2:3" hidden="1" x14ac:dyDescent="0.25">
      <c r="B233" s="14" t="str">
        <f t="shared" si="30"/>
        <v>OK</v>
      </c>
      <c r="C233" s="14" t="str">
        <f t="shared" si="31"/>
        <v>OK</v>
      </c>
    </row>
    <row r="234" spans="2:3" hidden="1" x14ac:dyDescent="0.25">
      <c r="B234" s="14" t="str">
        <f t="shared" si="30"/>
        <v>OK</v>
      </c>
      <c r="C234" s="14" t="str">
        <f t="shared" si="31"/>
        <v>OK</v>
      </c>
    </row>
    <row r="235" spans="2:3" hidden="1" x14ac:dyDescent="0.25">
      <c r="B235" s="14" t="str">
        <f t="shared" si="30"/>
        <v>OK</v>
      </c>
      <c r="C235" s="14" t="str">
        <f t="shared" si="31"/>
        <v>OK</v>
      </c>
    </row>
    <row r="236" spans="2:3" hidden="1" x14ac:dyDescent="0.25">
      <c r="B236" s="14" t="str">
        <f t="shared" si="30"/>
        <v>OK</v>
      </c>
      <c r="C236" s="14" t="str">
        <f t="shared" si="31"/>
        <v>OK</v>
      </c>
    </row>
    <row r="237" spans="2:3" hidden="1" x14ac:dyDescent="0.25">
      <c r="B237" s="14" t="str">
        <f t="shared" si="30"/>
        <v>OK</v>
      </c>
      <c r="C237" s="14" t="str">
        <f t="shared" si="31"/>
        <v>OK</v>
      </c>
    </row>
    <row r="238" spans="2:3" hidden="1" x14ac:dyDescent="0.25">
      <c r="B238" s="14" t="str">
        <f t="shared" si="30"/>
        <v>OK</v>
      </c>
      <c r="C238" s="14" t="str">
        <f t="shared" si="31"/>
        <v>OK</v>
      </c>
    </row>
    <row r="239" spans="2:3" hidden="1" x14ac:dyDescent="0.25">
      <c r="B239" s="14" t="str">
        <f t="shared" si="30"/>
        <v>OK</v>
      </c>
      <c r="C239" s="14" t="str">
        <f t="shared" si="31"/>
        <v>OK</v>
      </c>
    </row>
    <row r="240" spans="2:3" hidden="1" x14ac:dyDescent="0.25">
      <c r="B240" s="14" t="str">
        <f t="shared" si="30"/>
        <v>OK</v>
      </c>
      <c r="C240" s="14" t="str">
        <f t="shared" si="31"/>
        <v>OK</v>
      </c>
    </row>
    <row r="241" spans="2:3" hidden="1" x14ac:dyDescent="0.25">
      <c r="B241" s="14" t="str">
        <f t="shared" si="30"/>
        <v>OK</v>
      </c>
      <c r="C241" s="14" t="str">
        <f t="shared" si="31"/>
        <v>OK</v>
      </c>
    </row>
    <row r="242" spans="2:3" hidden="1" x14ac:dyDescent="0.25">
      <c r="B242" s="14" t="str">
        <f t="shared" si="30"/>
        <v>OK</v>
      </c>
      <c r="C242" s="14" t="str">
        <f t="shared" si="31"/>
        <v>OK</v>
      </c>
    </row>
    <row r="243" spans="2:3" hidden="1" x14ac:dyDescent="0.25">
      <c r="B243" s="14" t="str">
        <f t="shared" si="30"/>
        <v>OK</v>
      </c>
      <c r="C243" s="14" t="str">
        <f t="shared" si="31"/>
        <v>OK</v>
      </c>
    </row>
    <row r="244" spans="2:3" hidden="1" x14ac:dyDescent="0.25">
      <c r="B244" s="14" t="str">
        <f t="shared" si="30"/>
        <v>OK</v>
      </c>
      <c r="C244" s="14" t="str">
        <f t="shared" si="31"/>
        <v>OK</v>
      </c>
    </row>
    <row r="245" spans="2:3" hidden="1" x14ac:dyDescent="0.25">
      <c r="B245" s="14" t="str">
        <f t="shared" si="30"/>
        <v>OK</v>
      </c>
      <c r="C245" s="14" t="str">
        <f t="shared" si="31"/>
        <v>OK</v>
      </c>
    </row>
    <row r="246" spans="2:3" hidden="1" x14ac:dyDescent="0.25">
      <c r="B246" s="14" t="str">
        <f t="shared" si="30"/>
        <v>OK</v>
      </c>
      <c r="C246" s="14" t="str">
        <f t="shared" si="31"/>
        <v>OK</v>
      </c>
    </row>
    <row r="247" spans="2:3" hidden="1" x14ac:dyDescent="0.25"/>
    <row r="248" spans="2:3" hidden="1" x14ac:dyDescent="0.25"/>
    <row r="249" spans="2:3" hidden="1" x14ac:dyDescent="0.25">
      <c r="C249" s="14" t="str">
        <f>IF(AND(F60=90,OR(G60="L-U",G60="R-U",G60="V-U",G60="H-U",G60="L-O",G60="R-O",G60="V-O",G60="H-O")),"Nicht möglich","OK")</f>
        <v>OK</v>
      </c>
    </row>
    <row r="250" spans="2:3" hidden="1" x14ac:dyDescent="0.25"/>
    <row r="251" spans="2:3" hidden="1" x14ac:dyDescent="0.25"/>
    <row r="252" spans="2:3" hidden="1" x14ac:dyDescent="0.25"/>
    <row r="253" spans="2:3" hidden="1" x14ac:dyDescent="0.25"/>
    <row r="254" spans="2:3" hidden="1" x14ac:dyDescent="0.25"/>
  </sheetData>
  <sheetProtection password="CA0F" sheet="1" objects="1" scenarios="1" formatCells="0" formatColumns="0" formatRows="0" insertColumns="0" insertRows="0" insertHyperlinks="0" deleteColumns="0" deleteRows="0" sort="0" autoFilter="0" pivotTables="0"/>
  <dataConsolidate/>
  <mergeCells count="33">
    <mergeCell ref="B1:O1"/>
    <mergeCell ref="J3:O3"/>
    <mergeCell ref="B216:G216"/>
    <mergeCell ref="K67:M67"/>
    <mergeCell ref="C67:E67"/>
    <mergeCell ref="C22:E22"/>
    <mergeCell ref="D25:F25"/>
    <mergeCell ref="C71:P71"/>
    <mergeCell ref="C72:P72"/>
    <mergeCell ref="H75:P75"/>
    <mergeCell ref="B75:G75"/>
    <mergeCell ref="N67:O67"/>
    <mergeCell ref="J8:M8"/>
    <mergeCell ref="B65:J65"/>
    <mergeCell ref="C18:E18"/>
    <mergeCell ref="J18:M18"/>
    <mergeCell ref="J11:M11"/>
    <mergeCell ref="J9:M9"/>
    <mergeCell ref="C9:E9"/>
    <mergeCell ref="C8:E8"/>
    <mergeCell ref="C11:E11"/>
    <mergeCell ref="B74:C74"/>
    <mergeCell ref="B69:P69"/>
    <mergeCell ref="D74:P74"/>
    <mergeCell ref="J12:M12"/>
    <mergeCell ref="S16:U16"/>
    <mergeCell ref="C16:E16"/>
    <mergeCell ref="J16:M16"/>
    <mergeCell ref="C14:E14"/>
    <mergeCell ref="J13:M13"/>
    <mergeCell ref="J14:M14"/>
    <mergeCell ref="C12:E12"/>
    <mergeCell ref="C13:E13"/>
  </mergeCells>
  <phoneticPr fontId="0" type="noConversion"/>
  <conditionalFormatting sqref="N67:O67">
    <cfRule type="cellIs" dxfId="12" priority="1" stopIfTrue="1" operator="between">
      <formula>0</formula>
      <formula>$F$67</formula>
    </cfRule>
  </conditionalFormatting>
  <conditionalFormatting sqref="Q13">
    <cfRule type="cellIs" dxfId="11" priority="2" stopIfTrue="1" operator="equal">
      <formula>"Wirkungsgrad I.O."</formula>
    </cfRule>
  </conditionalFormatting>
  <conditionalFormatting sqref="Q16">
    <cfRule type="cellIs" dxfId="10" priority="3" stopIfTrue="1" operator="equal">
      <formula>"FMIW Temp. I.O."</formula>
    </cfRule>
  </conditionalFormatting>
  <conditionalFormatting sqref="Q18 Q67">
    <cfRule type="cellIs" dxfId="9" priority="4" stopIfTrue="1" operator="equal">
      <formula>"Druckdifferenz I.O."</formula>
    </cfRule>
  </conditionalFormatting>
  <conditionalFormatting sqref="Q63 Q60 Q28:Q57">
    <cfRule type="cellIs" dxfId="8" priority="5" stopIfTrue="1" operator="equal">
      <formula>"Eingabe I.O."</formula>
    </cfRule>
  </conditionalFormatting>
  <conditionalFormatting sqref="K67:M67">
    <cfRule type="cellIs" dxfId="7" priority="6" stopIfTrue="1" operator="equal">
      <formula>"Druckdifferenz:"</formula>
    </cfRule>
  </conditionalFormatting>
  <conditionalFormatting sqref="H28:H57 H60">
    <cfRule type="cellIs" dxfId="6" priority="7" stopIfTrue="1" operator="equal">
      <formula>0</formula>
    </cfRule>
  </conditionalFormatting>
  <dataValidations xWindow="103" yWindow="603" count="69">
    <dataValidation type="custom" allowBlank="1" showInputMessage="1" showErrorMessage="1" sqref="N13">
      <formula1>101.09-(0.0941*I60)-(6.275*10*-6*I60^2)-(3.173*10^-9*I60^3)</formula1>
    </dataValidation>
    <dataValidation type="list" allowBlank="1" showInputMessage="1" showErrorMessage="1" sqref="G60">
      <formula1>$C182:$C203</formula1>
    </dataValidation>
    <dataValidation type="list" allowBlank="1" showInputMessage="1" showErrorMessage="1" sqref="G28">
      <formula1>$C182:$C203</formula1>
    </dataValidation>
    <dataValidation type="list" allowBlank="1" showInputMessage="1" showErrorMessage="1" sqref="G29">
      <formula1>$C182:$C203</formula1>
    </dataValidation>
    <dataValidation type="list" allowBlank="1" showInputMessage="1" showErrorMessage="1" sqref="G32">
      <formula1>$C182:$C203</formula1>
    </dataValidation>
    <dataValidation type="list" allowBlank="1" showInputMessage="1" showErrorMessage="1" sqref="G33">
      <formula1>$C182:$C203</formula1>
    </dataValidation>
    <dataValidation type="list" allowBlank="1" showInputMessage="1" showErrorMessage="1" sqref="G35">
      <formula1>$C182:$C203</formula1>
    </dataValidation>
    <dataValidation type="list" allowBlank="1" showInputMessage="1" showErrorMessage="1" sqref="G36">
      <formula1>$C182:$C203</formula1>
    </dataValidation>
    <dataValidation type="list" allowBlank="1" showInputMessage="1" showErrorMessage="1" sqref="G37">
      <formula1>$C182:$C203</formula1>
    </dataValidation>
    <dataValidation type="list" allowBlank="1" showInputMessage="1" showErrorMessage="1" sqref="G38">
      <formula1>$C182:$C203</formula1>
    </dataValidation>
    <dataValidation type="list" allowBlank="1" showInputMessage="1" showErrorMessage="1" sqref="G39">
      <formula1>$C182:$C203</formula1>
    </dataValidation>
    <dataValidation type="list" allowBlank="1" showInputMessage="1" showErrorMessage="1" sqref="G40">
      <formula1>$C182:$C203</formula1>
    </dataValidation>
    <dataValidation type="list" allowBlank="1" showInputMessage="1" showErrorMessage="1" sqref="G41">
      <formula1>$C182:$C203</formula1>
    </dataValidation>
    <dataValidation type="list" allowBlank="1" showInputMessage="1" showErrorMessage="1" promptTitle="VB-Stück abfrage :" prompt="Bitte Poterie wählen !" sqref="B60">
      <formula1>$B$131:$B$140</formula1>
    </dataValidation>
    <dataValidation type="list" allowBlank="1" showInputMessage="1" showErrorMessage="1" promptTitle="Schornstein abfrage :" prompt="Format wählen !" sqref="B63">
      <formula1>$B$101:$B$128</formula1>
    </dataValidation>
    <dataValidation type="list" allowBlank="1" showInputMessage="1" showErrorMessage="1" promptTitle="Brennraum :" prompt="Bitte auswählen !" sqref="B25">
      <formula1>$B$143:$B$145</formula1>
    </dataValidation>
    <dataValidation type="custom" allowBlank="1" showInputMessage="1" showErrorMessage="1" sqref="D3">
      <formula1>"kW"</formula1>
    </dataValidation>
    <dataValidation type="custom" allowBlank="1" showInputMessage="1" showErrorMessage="1" sqref="D4">
      <formula1>"h"</formula1>
    </dataValidation>
    <dataValidation type="custom" allowBlank="1" showInputMessage="1" showErrorMessage="1" sqref="B3">
      <formula1>"Nennwärmeleistung Pn:"</formula1>
    </dataValidation>
    <dataValidation type="custom" allowBlank="1" showInputMessage="1" showErrorMessage="1" sqref="C8:E8">
      <formula1>"Brennraumgrundfläche:"</formula1>
    </dataValidation>
    <dataValidation type="custom" allowBlank="1" showInputMessage="1" showErrorMessage="1" sqref="C9:E9">
      <formula1>"Luftvolumenstrom:"</formula1>
    </dataValidation>
    <dataValidation type="custom" allowBlank="1" showInputMessage="1" showErrorMessage="1" sqref="C11:E11">
      <formula1>"Max. Brennstoffmenge mB:"</formula1>
    </dataValidation>
    <dataValidation type="decimal" errorStyle="information" allowBlank="1" showInputMessage="1" showErrorMessage="1" errorTitle="Fehler !" error="Nennwärmeleistung nur zwischen 2,7 bis 12 kW erlaubt !" sqref="C3">
      <formula1>2.7</formula1>
      <formula2>12</formula2>
    </dataValidation>
    <dataValidation type="custom" allowBlank="1" showInputMessage="1" showErrorMessage="1" sqref="C12:E12 Q13">
      <formula1>"WENN(L18&lt;78;""Wirkungsgrad &lt; 78%"";""Wirkungsgrad I.O."")"</formula1>
    </dataValidation>
    <dataValidation type="custom" allowBlank="1" showInputMessage="1" showErrorMessage="1" sqref="C13:E13">
      <formula1>"Opt. Brennstoffums. mBUopt:"</formula1>
    </dataValidation>
    <dataValidation type="custom" allowBlank="1" showInputMessage="1" showErrorMessage="1" sqref="C14:E14">
      <formula1>"Mindestzuglänge LZmin:"</formula1>
    </dataValidation>
    <dataValidation type="custom" allowBlank="1" showInputMessage="1" showErrorMessage="1" sqref="G8">
      <formula1>"m²"</formula1>
    </dataValidation>
    <dataValidation type="custom" allowBlank="1" showInputMessage="1" showErrorMessage="1" sqref="G9">
      <formula1>"m³/s"</formula1>
    </dataValidation>
    <dataValidation type="custom" allowBlank="1" showInputMessage="1" showErrorMessage="1" sqref="C16:E16">
      <formula1>"Fangmündungstemperatur:"</formula1>
    </dataValidation>
    <dataValidation type="custom" allowBlank="1" showInputMessage="1" showErrorMessage="1" sqref="C18:E18">
      <formula1>"Maximale Druckdifferenz:"</formula1>
    </dataValidation>
    <dataValidation type="custom" allowBlank="1" showInputMessage="1" showErrorMessage="1" sqref="G11:G12">
      <formula1>"kg"</formula1>
    </dataValidation>
    <dataValidation type="custom" allowBlank="1" showInputMessage="1" showErrorMessage="1" sqref="G13">
      <formula1>"kg/h"</formula1>
    </dataValidation>
    <dataValidation type="custom" allowBlank="1" showInputMessage="1" showErrorMessage="1" sqref="G14 O14">
      <formula1>"m"</formula1>
    </dataValidation>
    <dataValidation type="custom" allowBlank="1" showInputMessage="1" showErrorMessage="1" sqref="G16 O16">
      <formula1>"°C"</formula1>
    </dataValidation>
    <dataValidation type="custom" allowBlank="1" showInputMessage="1" showErrorMessage="1" sqref="G18 O18">
      <formula1>"Pa"</formula1>
    </dataValidation>
    <dataValidation type="custom" allowBlank="1" showInputMessage="1" showErrorMessage="1" sqref="F8">
      <formula1>"S30"</formula1>
    </dataValidation>
    <dataValidation type="custom" allowBlank="1" showInputMessage="1" showErrorMessage="1" sqref="F9">
      <formula1>"U27"</formula1>
    </dataValidation>
    <dataValidation type="custom" allowBlank="1" showInputMessage="1" showErrorMessage="1" sqref="F12">
      <formula1>"E16/2"</formula1>
    </dataValidation>
    <dataValidation type="custom" allowBlank="1" showInputMessage="1" showErrorMessage="1" sqref="F13">
      <formula1>"0,78*E16"</formula1>
    </dataValidation>
    <dataValidation type="custom" allowBlank="1" showInputMessage="1" showErrorMessage="1" sqref="F16">
      <formula1>"Schornstein!P25"</formula1>
    </dataValidation>
    <dataValidation type="custom" allowBlank="1" showInputMessage="1" showErrorMessage="1" sqref="F18">
      <formula1>"E72"</formula1>
    </dataValidation>
    <dataValidation type="custom" allowBlank="1" showInputMessage="1" showErrorMessage="1" sqref="B6">
      <formula1>"Seehöhe:"</formula1>
    </dataValidation>
    <dataValidation type="custom" allowBlank="1" showInputMessage="1" showErrorMessage="1" sqref="B4">
      <formula1>"Nennheizzeit tn:"</formula1>
    </dataValidation>
    <dataValidation type="custom" allowBlank="1" showInputMessage="1" showErrorMessage="1" sqref="J8:M8">
      <formula1>"Brennraumhöhe:"</formula1>
    </dataValidation>
    <dataValidation type="custom" allowBlank="1" showInputMessage="1" showErrorMessage="1" sqref="N8">
      <formula1>"F30"</formula1>
    </dataValidation>
    <dataValidation type="custom" allowBlank="1" showInputMessage="1" showErrorMessage="1" sqref="O8">
      <formula1>"cm"</formula1>
    </dataValidation>
    <dataValidation type="custom" allowBlank="1" showInputMessage="1" showErrorMessage="1" sqref="J9:M9">
      <formula1>"Abgasmassenstrom:"</formula1>
    </dataValidation>
    <dataValidation type="custom" allowBlank="1" showInputMessage="1" showErrorMessage="1" sqref="N9">
      <formula1>"U33*V33"</formula1>
    </dataValidation>
    <dataValidation type="custom" allowBlank="1" showInputMessage="1" showErrorMessage="1" sqref="O9">
      <formula1>"kg/s"</formula1>
    </dataValidation>
    <dataValidation type="custom" allowBlank="1" showInputMessage="1" showErrorMessage="1" sqref="J11:M11">
      <formula1>"Gasschlitzquerschnitt AGS:"</formula1>
    </dataValidation>
    <dataValidation type="custom" allowBlank="1" showInputMessage="1" showErrorMessage="1" sqref="N11">
      <formula1>"1*E16"</formula1>
    </dataValidation>
    <dataValidation type="custom" allowBlank="1" showInputMessage="1" showErrorMessage="1" sqref="O11:O12">
      <formula1>"cm²"</formula1>
    </dataValidation>
    <dataValidation type="custom" allowBlank="1" showInputMessage="1" showErrorMessage="1" sqref="J12:M12">
      <formula1>"Luftzufuhrquerschnitt:"</formula1>
    </dataValidation>
    <dataValidation type="custom" allowBlank="1" showInputMessage="1" showErrorMessage="1" sqref="N12">
      <formula1>"S27*10000"</formula1>
    </dataValidation>
    <dataValidation type="custom" allowBlank="1" showInputMessage="1" showErrorMessage="1" sqref="J13:M13">
      <formula1>"Wirkungsgrad:"</formula1>
    </dataValidation>
    <dataValidation type="custom" allowBlank="1" showInputMessage="1" showErrorMessage="1" sqref="O13">
      <formula1>"%"</formula1>
    </dataValidation>
    <dataValidation type="custom" allowBlank="1" showInputMessage="1" showErrorMessage="1" sqref="J14:M14">
      <formula1>"Zuglänge LZ:"</formula1>
    </dataValidation>
    <dataValidation type="custom" allowBlank="1" showInputMessage="1" showErrorMessage="1" sqref="N14">
      <formula1>"Q62/100"</formula1>
    </dataValidation>
    <dataValidation type="custom" allowBlank="1" showInputMessage="1" showErrorMessage="1" sqref="Q16">
      <formula1>"WENN(L21&lt;=45;""FMIW Temp. &lt; 45°C"";""FMIW Temp. I.O."")"</formula1>
    </dataValidation>
    <dataValidation type="custom" allowBlank="1" showInputMessage="1" showErrorMessage="1" sqref="Q18">
      <formula1>"WENN(L23&lt;0;""Druckdifferenz &lt; 0 Pa"";(WENN(L23&gt;E23;""Druckdifferenz zu groß"";""Druckdifferenz I.O."")))"</formula1>
    </dataValidation>
    <dataValidation type="custom" allowBlank="1" showInputMessage="1" showErrorMessage="1" sqref="J16:M16">
      <formula1>"Fangmündung-Innenwandtemp.:"</formula1>
    </dataValidation>
    <dataValidation type="custom" allowBlank="1" showInputMessage="1" showErrorMessage="1" sqref="N16">
      <formula1>"Schornstein!Q25"</formula1>
    </dataValidation>
    <dataValidation type="custom" allowBlank="1" showInputMessage="1" showErrorMessage="1" sqref="J18:M18">
      <formula1>"Tats. Druckdifferenz:"</formula1>
    </dataValidation>
    <dataValidation type="custom" allowBlank="1" showInputMessage="1" showErrorMessage="1" sqref="N18">
      <formula1>"L72"</formula1>
    </dataValidation>
    <dataValidation type="custom" allowBlank="1" showInputMessage="1" showErrorMessage="1" sqref="Q20">
      <formula1>"Statusanzeige"</formula1>
    </dataValidation>
    <dataValidation type="list" allowBlank="1" showInputMessage="1" showErrorMessage="1" sqref="G34 G42:G57 G30:G31">
      <formula1>$C$182:$C$203</formula1>
    </dataValidation>
    <dataValidation type="decimal" errorStyle="information" allowBlank="1" showInputMessage="1" showErrorMessage="1" errorTitle="Fehler !" error="Nennheizzeit nur zwischen 8 bis 12 Stunden möglich !" sqref="C4">
      <formula1>8</formula1>
      <formula2>24</formula2>
    </dataValidation>
    <dataValidation type="list" allowBlank="1" showInputMessage="1" showErrorMessage="1" sqref="J3:O3">
      <formula1>$B$87:$B$88</formula1>
    </dataValidation>
    <dataValidation type="decimal" allowBlank="1" showInputMessage="1" showErrorMessage="1" sqref="F63 F60 F28:F57">
      <formula1>0</formula1>
      <formula2>180</formula2>
    </dataValidation>
  </dataValidations>
  <pageMargins left="0.78740157480314965" right="0.19685039370078741" top="0.78740157480314965" bottom="0.78740157480314965" header="0.51181102362204722" footer="0.51181102362204722"/>
  <pageSetup paperSize="9" scale="3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A159"/>
  <sheetViews>
    <sheetView showGridLines="0" topLeftCell="B1" zoomScaleNormal="100" workbookViewId="0">
      <selection activeCell="G24" sqref="G24"/>
    </sheetView>
  </sheetViews>
  <sheetFormatPr baseColWidth="10" defaultColWidth="0" defaultRowHeight="13.5" zeroHeight="1" x14ac:dyDescent="0.25"/>
  <cols>
    <col min="1" max="1" width="35.5703125" style="14" hidden="1" customWidth="1"/>
    <col min="2" max="2" width="5.28515625" style="14" customWidth="1"/>
    <col min="3" max="3" width="42.140625" style="14" customWidth="1"/>
    <col min="4" max="4" width="9.140625" style="14" customWidth="1"/>
    <col min="5" max="5" width="8.5703125" style="14" customWidth="1"/>
    <col min="6" max="6" width="7.140625" style="14" customWidth="1"/>
    <col min="7" max="7" width="9.140625" style="14" bestFit="1" customWidth="1"/>
    <col min="8" max="8" width="7.5703125" style="14" bestFit="1" customWidth="1"/>
    <col min="9" max="9" width="4.140625" style="14" bestFit="1" customWidth="1"/>
    <col min="10" max="10" width="11.42578125" style="14" customWidth="1"/>
    <col min="11" max="11" width="32" style="14" hidden="1" customWidth="1"/>
    <col min="12" max="12" width="8" style="14" hidden="1" customWidth="1"/>
    <col min="13" max="13" width="4.5703125" style="14" hidden="1" customWidth="1"/>
    <col min="14" max="14" width="10.28515625" style="14" hidden="1" customWidth="1"/>
    <col min="15" max="20" width="11.42578125" style="14" hidden="1" customWidth="1"/>
    <col min="21" max="21" width="7.140625" style="14" hidden="1" customWidth="1"/>
    <col min="22" max="22" width="14.7109375" style="14" hidden="1" customWidth="1"/>
    <col min="23" max="23" width="32" style="14" hidden="1" customWidth="1"/>
    <col min="24" max="24" width="27" style="14" hidden="1" customWidth="1"/>
    <col min="25" max="25" width="16.7109375" style="14" hidden="1" customWidth="1"/>
    <col min="26" max="26" width="15.140625" style="14" hidden="1" customWidth="1"/>
    <col min="27" max="16384" width="11.42578125" style="14" hidden="1"/>
  </cols>
  <sheetData>
    <row r="1" spans="1:10" ht="33" customHeight="1" x14ac:dyDescent="0.35">
      <c r="C1" s="94" t="s">
        <v>453</v>
      </c>
    </row>
    <row r="2" spans="1:10" x14ac:dyDescent="0.25"/>
    <row r="3" spans="1:10" hidden="1" x14ac:dyDescent="0.25"/>
    <row r="4" spans="1:10" hidden="1" x14ac:dyDescent="0.25"/>
    <row r="5" spans="1:10" hidden="1" x14ac:dyDescent="0.25"/>
    <row r="6" spans="1:10" hidden="1" x14ac:dyDescent="0.25"/>
    <row r="7" spans="1:10" hidden="1" x14ac:dyDescent="0.25"/>
    <row r="8" spans="1:10" hidden="1" x14ac:dyDescent="0.25"/>
    <row r="9" spans="1:10" hidden="1" x14ac:dyDescent="0.25"/>
    <row r="10" spans="1:10" hidden="1" x14ac:dyDescent="0.25"/>
    <row r="11" spans="1:10" hidden="1" x14ac:dyDescent="0.25"/>
    <row r="12" spans="1:10" hidden="1" x14ac:dyDescent="0.25">
      <c r="A12" s="15"/>
      <c r="B12" s="16"/>
      <c r="C12" s="16"/>
      <c r="D12" s="16"/>
      <c r="E12" s="16"/>
      <c r="F12" s="16"/>
    </row>
    <row r="13" spans="1:10" x14ac:dyDescent="0.25">
      <c r="A13" s="15"/>
      <c r="B13" s="16"/>
      <c r="C13" s="34" t="s">
        <v>4</v>
      </c>
      <c r="D13" s="175">
        <v>36</v>
      </c>
      <c r="E13" s="281" t="s">
        <v>7</v>
      </c>
      <c r="F13" s="16"/>
    </row>
    <row r="14" spans="1:10" x14ac:dyDescent="0.25">
      <c r="C14" s="34" t="s">
        <v>5</v>
      </c>
      <c r="D14" s="175">
        <v>36</v>
      </c>
      <c r="E14" s="281" t="s">
        <v>7</v>
      </c>
      <c r="F14" s="16"/>
    </row>
    <row r="15" spans="1:10" x14ac:dyDescent="0.25">
      <c r="C15" s="16"/>
      <c r="D15" s="19"/>
      <c r="E15" s="16"/>
      <c r="F15" s="16"/>
    </row>
    <row r="16" spans="1:10" ht="15" x14ac:dyDescent="0.3">
      <c r="C16" s="18" t="s">
        <v>181</v>
      </c>
      <c r="D16" s="21">
        <f>D13*D14</f>
        <v>1296</v>
      </c>
      <c r="E16" s="18" t="s">
        <v>3</v>
      </c>
      <c r="G16" s="491" t="str">
        <f>IF(D16&lt;D28,"Fläche zu klein",IF(D16&gt;D29,"Fläche zu groß","Fläche in Ordnung"))</f>
        <v>Fläche in Ordnung</v>
      </c>
      <c r="H16" s="491"/>
      <c r="I16" s="491"/>
      <c r="J16" s="491"/>
    </row>
    <row r="17" spans="1:10" x14ac:dyDescent="0.25"/>
    <row r="18" spans="1:10" ht="15" x14ac:dyDescent="0.3">
      <c r="C18" s="18" t="s">
        <v>182</v>
      </c>
      <c r="D18" s="21">
        <f>(D27-2*D16)/D31</f>
        <v>51.375</v>
      </c>
      <c r="E18" s="18" t="s">
        <v>8</v>
      </c>
      <c r="G18" s="22" t="s">
        <v>105</v>
      </c>
      <c r="H18" s="23"/>
      <c r="I18" s="23"/>
      <c r="J18" s="23"/>
    </row>
    <row r="19" spans="1:10" ht="15.75" x14ac:dyDescent="0.3">
      <c r="C19" s="116" t="s">
        <v>243</v>
      </c>
      <c r="D19" s="176">
        <v>50</v>
      </c>
      <c r="E19" s="281" t="s">
        <v>7</v>
      </c>
      <c r="G19" s="491" t="str">
        <f>IF(D19="","Wert eingeben",IF(D19&lt;D18*0.95,"Brennraumhöhe zu gering",IF(D19&gt;D18*1.05,"Brennraumhöhe zu groß","Brennraumhöhe in Ordnung")))</f>
        <v>Brennraumhöhe in Ordnung</v>
      </c>
      <c r="H19" s="491"/>
      <c r="I19" s="491"/>
      <c r="J19" s="491"/>
    </row>
    <row r="20" spans="1:10" x14ac:dyDescent="0.25"/>
    <row r="21" spans="1:10" s="24" customFormat="1" x14ac:dyDescent="0.25">
      <c r="A21" s="14"/>
      <c r="B21" s="14"/>
      <c r="C21" s="14"/>
      <c r="D21" s="14"/>
      <c r="E21" s="14"/>
      <c r="F21" s="14"/>
    </row>
    <row r="22" spans="1:10" s="24" customFormat="1" x14ac:dyDescent="0.25">
      <c r="A22" s="14"/>
      <c r="B22" s="14"/>
      <c r="C22" s="25" t="s">
        <v>179</v>
      </c>
      <c r="D22" s="26" t="s">
        <v>133</v>
      </c>
      <c r="E22" s="14"/>
      <c r="F22" s="14"/>
      <c r="G22" s="492"/>
      <c r="H22" s="492"/>
      <c r="I22" s="492"/>
      <c r="J22" s="492"/>
    </row>
    <row r="23" spans="1:10" s="24" customFormat="1" x14ac:dyDescent="0.25">
      <c r="A23" s="14"/>
      <c r="B23" s="14"/>
      <c r="C23" s="14"/>
      <c r="D23" s="14"/>
      <c r="E23" s="14"/>
      <c r="F23" s="14"/>
    </row>
    <row r="24" spans="1:10" s="24" customFormat="1" ht="15" x14ac:dyDescent="0.3">
      <c r="C24" s="89" t="s">
        <v>184</v>
      </c>
      <c r="D24" s="43">
        <f>Berechnung!F11</f>
        <v>11.1</v>
      </c>
      <c r="E24" s="114" t="s">
        <v>1</v>
      </c>
      <c r="F24" s="14"/>
    </row>
    <row r="25" spans="1:10" s="24" customFormat="1" ht="15" x14ac:dyDescent="0.3">
      <c r="C25" s="115" t="s">
        <v>185</v>
      </c>
      <c r="D25" s="43">
        <f>D24/2</f>
        <v>5.55</v>
      </c>
      <c r="E25" s="114" t="s">
        <v>1</v>
      </c>
      <c r="F25" s="14"/>
    </row>
    <row r="26" spans="1:10" x14ac:dyDescent="0.25"/>
    <row r="27" spans="1:10" ht="15" x14ac:dyDescent="0.3">
      <c r="C27" s="89" t="s">
        <v>186</v>
      </c>
      <c r="D27" s="43">
        <f>900*D24</f>
        <v>9990</v>
      </c>
      <c r="E27" s="114" t="s">
        <v>3</v>
      </c>
    </row>
    <row r="28" spans="1:10" ht="15" x14ac:dyDescent="0.3">
      <c r="C28" s="89" t="s">
        <v>187</v>
      </c>
      <c r="D28" s="43">
        <f>100*D24</f>
        <v>1110</v>
      </c>
      <c r="E28" s="114" t="s">
        <v>3</v>
      </c>
    </row>
    <row r="29" spans="1:10" ht="15" x14ac:dyDescent="0.3">
      <c r="C29" s="89" t="s">
        <v>188</v>
      </c>
      <c r="D29" s="43">
        <f>(D27-D30*D31)/2</f>
        <v>2395.7999999999997</v>
      </c>
      <c r="E29" s="114" t="s">
        <v>3</v>
      </c>
    </row>
    <row r="30" spans="1:10" ht="15" x14ac:dyDescent="0.3">
      <c r="C30" s="89" t="s">
        <v>189</v>
      </c>
      <c r="D30" s="43">
        <f>25+D24</f>
        <v>36.1</v>
      </c>
      <c r="E30" s="114" t="s">
        <v>7</v>
      </c>
    </row>
    <row r="31" spans="1:10" x14ac:dyDescent="0.25">
      <c r="C31" s="89" t="s">
        <v>6</v>
      </c>
      <c r="D31" s="82">
        <f>(D14+D13)*2</f>
        <v>144</v>
      </c>
      <c r="E31" s="114" t="s">
        <v>8</v>
      </c>
    </row>
    <row r="32" spans="1:10" x14ac:dyDescent="0.25"/>
    <row r="33" spans="1:27" x14ac:dyDescent="0.25"/>
    <row r="34" spans="1:27" x14ac:dyDescent="0.25"/>
    <row r="35" spans="1:27" x14ac:dyDescent="0.25"/>
    <row r="36" spans="1:27" ht="18.75" hidden="1" thickBot="1" x14ac:dyDescent="0.3">
      <c r="A36" s="13" t="s">
        <v>220</v>
      </c>
    </row>
    <row r="37" spans="1:27" ht="16.5" hidden="1" thickBot="1" x14ac:dyDescent="0.3">
      <c r="A37" s="493" t="s">
        <v>137</v>
      </c>
      <c r="B37" s="494"/>
      <c r="C37" s="292" t="s">
        <v>138</v>
      </c>
      <c r="D37" s="293" t="s">
        <v>139</v>
      </c>
      <c r="E37" s="290"/>
      <c r="F37" s="290"/>
      <c r="J37" s="87"/>
      <c r="K37" s="3"/>
      <c r="L37" s="3"/>
      <c r="M37" s="3"/>
      <c r="N37" s="3"/>
      <c r="O37" s="3"/>
      <c r="P37" s="3"/>
      <c r="Q37" s="3"/>
      <c r="R37" s="3"/>
      <c r="S37" s="3"/>
      <c r="T37" s="3"/>
      <c r="U37" s="3"/>
      <c r="V37" s="3"/>
      <c r="W37" s="3"/>
      <c r="X37" s="3"/>
      <c r="Y37" s="3"/>
      <c r="Z37" s="3"/>
      <c r="AA37" s="3"/>
    </row>
    <row r="38" spans="1:27" ht="5.0999999999999996" hidden="1" customHeight="1" x14ac:dyDescent="0.25">
      <c r="A38" s="294"/>
      <c r="B38" s="283"/>
      <c r="C38" s="215"/>
      <c r="D38" s="295"/>
      <c r="E38" s="87"/>
      <c r="F38" s="87"/>
      <c r="J38" s="87"/>
      <c r="K38" s="3"/>
      <c r="L38" s="3"/>
      <c r="M38" s="3"/>
      <c r="N38" s="3"/>
      <c r="O38" s="3"/>
      <c r="P38" s="3"/>
      <c r="Q38" s="3"/>
      <c r="R38" s="3"/>
      <c r="S38" s="3"/>
      <c r="T38" s="3"/>
      <c r="U38" s="3"/>
      <c r="V38" s="3"/>
      <c r="W38" s="3"/>
      <c r="X38" s="3"/>
      <c r="Y38" s="3"/>
      <c r="Z38" s="3"/>
      <c r="AA38" s="3"/>
    </row>
    <row r="39" spans="1:27" hidden="1" x14ac:dyDescent="0.25">
      <c r="A39" s="495" t="s">
        <v>141</v>
      </c>
      <c r="B39" s="496"/>
      <c r="C39" s="91" t="s">
        <v>221</v>
      </c>
      <c r="D39" s="296">
        <f>Z44</f>
        <v>18</v>
      </c>
      <c r="E39" s="117"/>
      <c r="F39" s="117"/>
      <c r="K39" s="2"/>
      <c r="L39" s="2"/>
      <c r="M39" s="2"/>
      <c r="N39" s="2"/>
      <c r="O39" s="2"/>
      <c r="P39" s="2"/>
      <c r="Q39" s="2"/>
      <c r="R39" s="2"/>
      <c r="S39" s="2"/>
      <c r="T39" s="2"/>
      <c r="U39" s="2"/>
      <c r="V39" s="2"/>
      <c r="W39" s="2"/>
      <c r="X39" s="2"/>
      <c r="Y39" s="2"/>
      <c r="Z39" s="2"/>
      <c r="AA39" s="2"/>
    </row>
    <row r="40" spans="1:27" hidden="1" x14ac:dyDescent="0.25">
      <c r="A40" s="497" t="s">
        <v>142</v>
      </c>
      <c r="B40" s="497"/>
      <c r="C40" s="91" t="s">
        <v>222</v>
      </c>
      <c r="D40" s="297">
        <f>Z42</f>
        <v>8</v>
      </c>
      <c r="E40" s="117"/>
      <c r="F40" s="117"/>
      <c r="K40" s="2"/>
      <c r="L40" s="2"/>
      <c r="M40" s="2"/>
      <c r="N40" s="2"/>
      <c r="O40" s="2"/>
      <c r="P40" s="2"/>
      <c r="Q40" s="2"/>
      <c r="R40" s="2"/>
      <c r="S40" s="2"/>
      <c r="T40" s="2"/>
      <c r="U40" s="2"/>
      <c r="V40" s="2"/>
      <c r="W40" s="2"/>
      <c r="X40" s="2" t="s">
        <v>143</v>
      </c>
      <c r="Y40" s="2" t="s">
        <v>144</v>
      </c>
      <c r="Z40" s="2" t="s">
        <v>145</v>
      </c>
      <c r="AA40" s="2"/>
    </row>
    <row r="41" spans="1:27" hidden="1" x14ac:dyDescent="0.25">
      <c r="A41" s="490" t="s">
        <v>146</v>
      </c>
      <c r="B41" s="490"/>
      <c r="C41" s="18" t="s">
        <v>223</v>
      </c>
      <c r="D41" s="34">
        <f>ROUNDUP((((SQRT(D16))+9)*4)/30,0)+1</f>
        <v>7</v>
      </c>
      <c r="E41" s="117"/>
      <c r="F41" s="117"/>
      <c r="K41" s="2"/>
      <c r="L41" s="2"/>
      <c r="M41" s="2"/>
      <c r="N41" s="2"/>
      <c r="O41" s="2"/>
      <c r="P41" s="2"/>
      <c r="Q41" s="2"/>
      <c r="R41" s="2"/>
      <c r="S41" s="2"/>
      <c r="T41" s="2"/>
      <c r="U41" s="2"/>
      <c r="V41" s="2"/>
      <c r="W41" s="2" t="s">
        <v>147</v>
      </c>
      <c r="X41" s="4">
        <f>ROUNDUP((D19+4)/12,0)</f>
        <v>5</v>
      </c>
      <c r="Y41" s="4">
        <f>ROUNDUP(((D14*2)/18)+((D13+18)*2/18),0)</f>
        <v>10</v>
      </c>
      <c r="Z41" s="2"/>
      <c r="AA41" s="2"/>
    </row>
    <row r="42" spans="1:27" hidden="1" x14ac:dyDescent="0.25">
      <c r="A42" s="490" t="s">
        <v>242</v>
      </c>
      <c r="B42" s="490"/>
      <c r="C42" s="18" t="s">
        <v>224</v>
      </c>
      <c r="D42" s="34">
        <f>ROUNDUP((D16+((SQRT(D16)+9)*9)*4)/(60*90),0)</f>
        <v>1</v>
      </c>
      <c r="E42" s="117"/>
      <c r="F42" s="117"/>
      <c r="K42" s="2"/>
      <c r="L42" s="2"/>
      <c r="M42" s="2"/>
      <c r="N42" s="2"/>
      <c r="O42" s="2"/>
      <c r="P42" s="2"/>
      <c r="Q42" s="2"/>
      <c r="R42" s="2"/>
      <c r="S42" s="2"/>
      <c r="T42" s="2"/>
      <c r="U42" s="2"/>
      <c r="V42" s="2"/>
      <c r="W42" s="2" t="s">
        <v>148</v>
      </c>
      <c r="X42" s="4">
        <f>ROUNDDOWN((X41/2),0)</f>
        <v>2</v>
      </c>
      <c r="Y42" s="4">
        <f>ROUNDDOWN((D14/36)+ROUNDDOWN((D13+18)/36,0),0)*2</f>
        <v>4</v>
      </c>
      <c r="Z42" s="95">
        <f>Y42*X42</f>
        <v>8</v>
      </c>
      <c r="AA42" s="2"/>
    </row>
    <row r="43" spans="1:27" ht="20.100000000000001" hidden="1" customHeight="1" x14ac:dyDescent="0.25">
      <c r="A43" s="489" t="s">
        <v>331</v>
      </c>
      <c r="B43" s="489"/>
      <c r="C43" s="16"/>
      <c r="D43" s="30"/>
      <c r="E43" s="117"/>
      <c r="F43" s="117"/>
      <c r="K43" s="2"/>
      <c r="L43" s="2"/>
      <c r="M43" s="2"/>
      <c r="N43" s="2"/>
      <c r="O43" s="2"/>
      <c r="P43" s="2"/>
      <c r="Q43" s="2"/>
      <c r="R43" s="2"/>
      <c r="S43" s="2"/>
      <c r="T43" s="2"/>
      <c r="U43" s="2"/>
      <c r="V43" s="2"/>
      <c r="W43" s="2"/>
      <c r="X43" s="4"/>
      <c r="Y43" s="4"/>
      <c r="Z43" s="95"/>
      <c r="AA43" s="2"/>
    </row>
    <row r="44" spans="1:27" hidden="1" x14ac:dyDescent="0.25">
      <c r="A44" s="487" t="s">
        <v>163</v>
      </c>
      <c r="B44" s="487"/>
      <c r="C44" s="18" t="str">
        <f>VLOOKUP(A44,A61:B72,2,FALSE)</f>
        <v>60/780/297</v>
      </c>
      <c r="D44" s="113">
        <f>W52</f>
        <v>2</v>
      </c>
      <c r="E44" s="4"/>
      <c r="F44" s="4"/>
      <c r="J44" s="2"/>
      <c r="K44" s="2"/>
      <c r="L44" s="2"/>
      <c r="M44" s="2"/>
      <c r="N44" s="2"/>
      <c r="O44" s="2"/>
      <c r="P44" s="2"/>
      <c r="Q44" s="2"/>
      <c r="R44" s="2"/>
      <c r="S44" s="2"/>
      <c r="T44" s="2"/>
      <c r="U44" s="2"/>
      <c r="V44" s="2"/>
      <c r="W44" s="2" t="s">
        <v>150</v>
      </c>
      <c r="X44" s="4">
        <f>X41-(X42*2)</f>
        <v>1</v>
      </c>
      <c r="Y44" s="4">
        <f>(Y41-(Y42*2))</f>
        <v>2</v>
      </c>
      <c r="Z44" s="95">
        <f>IF(X44=0,X42*2*Y44,(X44*Y41)+((X42*2)*Y44))</f>
        <v>18</v>
      </c>
      <c r="AA44" s="2"/>
    </row>
    <row r="45" spans="1:27" ht="20.100000000000001" hidden="1" customHeight="1" x14ac:dyDescent="0.25">
      <c r="A45" s="488" t="s">
        <v>238</v>
      </c>
      <c r="B45" s="488"/>
      <c r="D45" s="5"/>
      <c r="E45" s="4"/>
      <c r="F45" s="4"/>
      <c r="J45" s="2"/>
      <c r="K45" s="2"/>
      <c r="L45" s="2"/>
      <c r="M45" s="2"/>
      <c r="N45" s="2"/>
      <c r="O45" s="2"/>
      <c r="P45" s="2"/>
      <c r="Q45" s="2"/>
      <c r="R45" s="2"/>
      <c r="S45" s="2"/>
      <c r="T45" s="2"/>
      <c r="U45" s="2"/>
      <c r="V45" s="2"/>
      <c r="W45" s="2"/>
      <c r="X45" s="4"/>
      <c r="Y45" s="4"/>
      <c r="Z45" s="12"/>
      <c r="AA45" s="2"/>
    </row>
    <row r="46" spans="1:27" hidden="1" x14ac:dyDescent="0.25">
      <c r="A46" s="487" t="s">
        <v>176</v>
      </c>
      <c r="B46" s="487"/>
      <c r="C46" s="18" t="str">
        <f>VLOOKUP(A46,A76:B88,2,FALSE)</f>
        <v>40/500/250</v>
      </c>
      <c r="D46" s="113">
        <f>X58</f>
        <v>2</v>
      </c>
      <c r="E46" s="4"/>
      <c r="F46" s="4"/>
      <c r="J46" s="2"/>
      <c r="K46" s="2"/>
      <c r="L46" s="2"/>
      <c r="M46" s="2"/>
      <c r="N46" s="2"/>
      <c r="O46" s="2"/>
      <c r="P46" s="2"/>
      <c r="Q46" s="2"/>
      <c r="R46" s="2"/>
      <c r="S46" s="2"/>
      <c r="T46" s="2"/>
      <c r="U46" s="2"/>
      <c r="V46" s="2"/>
      <c r="W46" s="2"/>
      <c r="X46" s="2"/>
      <c r="Y46" s="2"/>
      <c r="Z46" s="2"/>
      <c r="AA46" s="2"/>
    </row>
    <row r="47" spans="1:27" ht="20.100000000000001" hidden="1" customHeight="1" x14ac:dyDescent="0.25">
      <c r="A47" s="488" t="s">
        <v>237</v>
      </c>
      <c r="B47" s="488"/>
      <c r="D47" s="5"/>
      <c r="E47" s="4"/>
      <c r="F47" s="4"/>
      <c r="J47" s="2"/>
      <c r="K47" s="2"/>
      <c r="L47" s="2"/>
      <c r="M47" s="2"/>
      <c r="N47" s="2"/>
      <c r="O47" s="2"/>
      <c r="P47" s="2"/>
      <c r="Q47" s="2"/>
      <c r="R47" s="2"/>
      <c r="S47" s="2"/>
      <c r="T47" s="2"/>
      <c r="U47" s="2"/>
      <c r="V47" s="2"/>
      <c r="W47" s="2"/>
      <c r="X47" s="2"/>
      <c r="Y47" s="2"/>
      <c r="Z47" s="2"/>
      <c r="AA47" s="2"/>
    </row>
    <row r="48" spans="1:27" hidden="1" x14ac:dyDescent="0.25">
      <c r="A48" s="487" t="s">
        <v>172</v>
      </c>
      <c r="B48" s="487"/>
      <c r="C48" s="18" t="str">
        <f>VLOOKUP(A48,A76:B88,2,FALSE)</f>
        <v>40/400/400</v>
      </c>
      <c r="D48" s="113">
        <f>X52</f>
        <v>4</v>
      </c>
      <c r="E48" s="2"/>
      <c r="F48" s="2"/>
      <c r="H48" s="2"/>
      <c r="I48" s="2"/>
      <c r="J48" s="2"/>
      <c r="K48" s="2"/>
      <c r="L48" s="2"/>
      <c r="M48" s="2"/>
      <c r="N48" s="2"/>
      <c r="O48" s="2"/>
      <c r="P48" s="2"/>
      <c r="Q48" s="2"/>
      <c r="R48" s="2"/>
      <c r="S48" s="2"/>
      <c r="T48" s="2"/>
      <c r="U48" s="2"/>
      <c r="V48" s="2"/>
      <c r="W48" s="2" t="s">
        <v>240</v>
      </c>
      <c r="X48" s="2" t="s">
        <v>239</v>
      </c>
      <c r="Y48" s="2"/>
      <c r="Z48" s="2"/>
      <c r="AA48" s="2"/>
    </row>
    <row r="49" spans="1:27" hidden="1" x14ac:dyDescent="0.25">
      <c r="A49" s="2"/>
      <c r="B49" s="2"/>
      <c r="C49" s="2"/>
      <c r="D49" s="2"/>
      <c r="E49" s="2"/>
      <c r="F49" s="2"/>
      <c r="G49" s="2"/>
      <c r="H49" s="2"/>
      <c r="I49" s="2"/>
      <c r="J49" s="2"/>
      <c r="K49" s="2"/>
      <c r="L49" s="2"/>
      <c r="M49" s="2"/>
      <c r="N49" s="2"/>
      <c r="O49" s="2"/>
      <c r="P49" s="2"/>
      <c r="Q49" s="2"/>
      <c r="R49" s="2"/>
      <c r="S49" s="2"/>
      <c r="T49" s="2"/>
      <c r="U49" s="2"/>
      <c r="V49" s="2"/>
      <c r="W49" s="2" t="str">
        <f>RIGHT(A44,10)</f>
        <v>60/780/297</v>
      </c>
      <c r="X49" s="2" t="str">
        <f>RIGHT(A48,10)</f>
        <v>40/400/400</v>
      </c>
      <c r="Y49" s="2"/>
      <c r="Z49" s="2"/>
      <c r="AA49" s="2"/>
    </row>
    <row r="50" spans="1:27" ht="13.5" hidden="1" customHeight="1" x14ac:dyDescent="0.25">
      <c r="A50" s="2"/>
      <c r="B50" s="2"/>
      <c r="C50" s="2"/>
      <c r="D50" s="3"/>
      <c r="E50" s="3"/>
      <c r="F50" s="2"/>
      <c r="G50" s="2"/>
      <c r="H50" s="2"/>
      <c r="I50" s="2"/>
      <c r="J50" s="3"/>
      <c r="K50" s="2"/>
      <c r="L50" s="2"/>
      <c r="M50" s="2"/>
      <c r="N50" s="2"/>
      <c r="O50" s="2"/>
      <c r="P50" s="2"/>
      <c r="Q50" s="2"/>
      <c r="R50" s="2"/>
      <c r="S50" s="2"/>
      <c r="T50" s="2"/>
      <c r="U50" s="2" t="s">
        <v>140</v>
      </c>
      <c r="V50" s="2">
        <f>RIGHT(W49,3)/10</f>
        <v>29.7</v>
      </c>
      <c r="W50" s="2">
        <f>ROUNDUP((D13+18)/V50,0)</f>
        <v>2</v>
      </c>
      <c r="X50" s="2">
        <f>ROUNDUP((D13+18)/Y50,0)</f>
        <v>2</v>
      </c>
      <c r="Y50" s="2">
        <f>RIGHT(X49,3)/10</f>
        <v>40</v>
      </c>
      <c r="Z50" s="2"/>
      <c r="AA50" s="2"/>
    </row>
    <row r="51" spans="1:27" hidden="1" x14ac:dyDescent="0.25">
      <c r="A51" s="2"/>
      <c r="B51" s="3"/>
      <c r="C51" s="2"/>
      <c r="D51" s="3"/>
      <c r="E51" s="3"/>
      <c r="F51" s="2"/>
      <c r="G51" s="2"/>
      <c r="H51" s="2"/>
      <c r="I51" s="2"/>
      <c r="J51" s="3"/>
      <c r="K51" s="2"/>
      <c r="L51" s="2"/>
      <c r="M51" s="2"/>
      <c r="N51" s="2"/>
      <c r="O51" s="2"/>
      <c r="P51" s="2"/>
      <c r="Q51" s="2"/>
      <c r="R51" s="2"/>
      <c r="S51" s="2"/>
      <c r="T51" s="2"/>
      <c r="U51" s="2" t="s">
        <v>236</v>
      </c>
      <c r="V51" s="2">
        <f>MID(W49,4,3)/10</f>
        <v>78</v>
      </c>
      <c r="W51" s="2">
        <f>ROUNDUP((D14+18)/V51,0)</f>
        <v>1</v>
      </c>
      <c r="X51" s="2">
        <f>ROUNDUP((D14+18)/Y51,0)</f>
        <v>2</v>
      </c>
      <c r="Y51" s="2">
        <f>MID(X49,4,3)/10</f>
        <v>40</v>
      </c>
      <c r="Z51" s="2"/>
      <c r="AA51" s="2"/>
    </row>
    <row r="52" spans="1:27" hidden="1" x14ac:dyDescent="0.25">
      <c r="A52" s="2"/>
      <c r="B52" s="3"/>
      <c r="C52" s="2"/>
      <c r="D52" s="3"/>
      <c r="E52" s="3"/>
      <c r="F52" s="2"/>
      <c r="G52" s="2"/>
      <c r="H52" s="2"/>
      <c r="I52" s="2"/>
      <c r="J52" s="3"/>
      <c r="K52" s="2"/>
      <c r="L52" s="2"/>
      <c r="M52" s="2"/>
      <c r="N52" s="2"/>
      <c r="O52" s="2"/>
      <c r="P52" s="2"/>
      <c r="Q52" s="2"/>
      <c r="R52" s="2"/>
      <c r="S52" s="2"/>
      <c r="T52" s="2"/>
      <c r="U52" s="2"/>
      <c r="V52" s="112" t="s">
        <v>145</v>
      </c>
      <c r="W52" s="112">
        <f>W51*W50</f>
        <v>2</v>
      </c>
      <c r="X52" s="112">
        <f>X51*X50</f>
        <v>4</v>
      </c>
      <c r="Y52" s="2"/>
      <c r="Z52" s="2"/>
      <c r="AA52" s="2"/>
    </row>
    <row r="53" spans="1:27" ht="17.25" hidden="1" x14ac:dyDescent="0.3">
      <c r="A53" s="1"/>
      <c r="B53" s="3"/>
      <c r="C53" s="2"/>
      <c r="D53" s="2"/>
      <c r="E53" s="2"/>
      <c r="F53" s="2"/>
      <c r="G53" s="2"/>
      <c r="H53" s="2"/>
      <c r="I53" s="2"/>
      <c r="J53" s="2"/>
      <c r="K53" s="2"/>
      <c r="L53" s="2"/>
      <c r="M53" s="2"/>
      <c r="N53" s="2"/>
      <c r="O53" s="2"/>
      <c r="P53" s="2"/>
      <c r="Q53" s="2"/>
      <c r="R53" s="2"/>
      <c r="S53" s="2"/>
      <c r="T53" s="2"/>
      <c r="U53" s="2"/>
      <c r="V53" s="2"/>
      <c r="W53" s="2"/>
      <c r="X53" s="2"/>
      <c r="Y53" s="2"/>
      <c r="Z53" s="2"/>
      <c r="AA53" s="2"/>
    </row>
    <row r="54" spans="1:27" hidden="1" x14ac:dyDescent="0.25">
      <c r="A54" s="6"/>
      <c r="B54" s="4"/>
      <c r="C54" s="4"/>
      <c r="D54" s="4"/>
      <c r="E54" s="4"/>
      <c r="F54" s="4"/>
      <c r="G54" s="4"/>
      <c r="H54" s="4"/>
      <c r="I54" s="4"/>
      <c r="J54" s="4"/>
      <c r="K54" s="4"/>
      <c r="L54" s="4"/>
      <c r="M54" s="4"/>
      <c r="N54" s="4"/>
      <c r="O54" s="4"/>
      <c r="P54" s="4"/>
      <c r="Q54" s="4"/>
      <c r="R54" s="4"/>
      <c r="S54" s="4"/>
      <c r="T54" s="4"/>
      <c r="U54" s="4"/>
      <c r="V54" s="4"/>
      <c r="W54" s="4"/>
      <c r="X54" s="2" t="s">
        <v>241</v>
      </c>
      <c r="Y54" s="4"/>
      <c r="Z54" s="4"/>
      <c r="AA54" s="4"/>
    </row>
    <row r="55" spans="1:27" hidden="1" x14ac:dyDescent="0.25">
      <c r="A55" s="7"/>
      <c r="B55" s="8"/>
      <c r="C55" s="9"/>
      <c r="D55" s="9"/>
      <c r="E55" s="9"/>
      <c r="F55" s="9"/>
      <c r="G55" s="9"/>
      <c r="H55" s="9"/>
      <c r="I55" s="9"/>
      <c r="J55" s="9"/>
      <c r="K55" s="9"/>
      <c r="L55" s="9"/>
      <c r="M55" s="9"/>
      <c r="N55" s="9"/>
      <c r="O55" s="9"/>
      <c r="P55" s="9"/>
      <c r="Q55" s="9"/>
      <c r="R55" s="9"/>
      <c r="S55" s="9"/>
      <c r="T55" s="9"/>
      <c r="U55" s="9"/>
      <c r="V55" s="9"/>
      <c r="W55" s="9"/>
      <c r="X55" s="2" t="str">
        <f>RIGHT(A46,10)</f>
        <v>40/500/250</v>
      </c>
      <c r="Y55" s="2"/>
      <c r="Z55" s="9"/>
      <c r="AA55" s="9"/>
    </row>
    <row r="56" spans="1:27" hidden="1" x14ac:dyDescent="0.25">
      <c r="A56" s="10"/>
      <c r="B56" s="11"/>
      <c r="C56" s="12"/>
      <c r="D56" s="12"/>
      <c r="E56" s="12"/>
      <c r="F56" s="12"/>
      <c r="G56" s="12"/>
      <c r="H56" s="12"/>
      <c r="I56" s="12"/>
      <c r="J56" s="12"/>
      <c r="K56" s="12"/>
      <c r="L56" s="97"/>
      <c r="M56" s="98"/>
      <c r="N56" s="99"/>
      <c r="O56" s="98"/>
      <c r="P56" s="97"/>
      <c r="Q56" s="100"/>
      <c r="R56" s="98"/>
      <c r="S56" s="12"/>
      <c r="T56" s="12"/>
      <c r="U56" s="12"/>
      <c r="V56" s="12"/>
      <c r="W56" s="12" t="s">
        <v>140</v>
      </c>
      <c r="X56" s="2">
        <f>ROUNDUP(D13/Y56,0)</f>
        <v>2</v>
      </c>
      <c r="Y56" s="2">
        <f>RIGHT(X55,3)/10</f>
        <v>25</v>
      </c>
      <c r="Z56" s="12"/>
      <c r="AA56" s="12"/>
    </row>
    <row r="57" spans="1:27" hidden="1" x14ac:dyDescent="0.25">
      <c r="A57" s="12"/>
      <c r="B57" s="11"/>
      <c r="C57" s="12"/>
      <c r="D57" s="12"/>
      <c r="E57" s="12"/>
      <c r="F57" s="12"/>
      <c r="G57" s="12"/>
      <c r="H57" s="12"/>
      <c r="I57" s="12"/>
      <c r="J57" s="12"/>
      <c r="K57" s="12"/>
      <c r="L57" s="97"/>
      <c r="M57" s="98"/>
      <c r="N57" s="99"/>
      <c r="O57" s="98"/>
      <c r="P57" s="97"/>
      <c r="Q57" s="100"/>
      <c r="R57" s="98"/>
      <c r="S57" s="12"/>
      <c r="T57" s="12"/>
      <c r="U57" s="12"/>
      <c r="V57" s="12"/>
      <c r="W57" s="12" t="s">
        <v>236</v>
      </c>
      <c r="X57" s="2">
        <f>ROUNDUP(D14/Y57,0)</f>
        <v>1</v>
      </c>
      <c r="Y57" s="2">
        <f>MID(X55,4,3)/10</f>
        <v>50</v>
      </c>
      <c r="Z57" s="12"/>
      <c r="AA57" s="12"/>
    </row>
    <row r="58" spans="1:27" hidden="1" x14ac:dyDescent="0.25">
      <c r="A58" s="10"/>
      <c r="B58" s="11"/>
      <c r="C58" s="12"/>
      <c r="D58" s="12"/>
      <c r="E58" s="12"/>
      <c r="F58" s="12"/>
      <c r="G58" s="12"/>
      <c r="H58" s="12"/>
      <c r="I58" s="12"/>
      <c r="J58" s="12"/>
      <c r="K58" s="12"/>
      <c r="L58" s="97"/>
      <c r="M58" s="98"/>
      <c r="N58" s="99"/>
      <c r="O58" s="98"/>
      <c r="P58" s="97"/>
      <c r="Q58" s="100"/>
      <c r="R58" s="98"/>
      <c r="S58" s="12"/>
      <c r="T58" s="12"/>
      <c r="U58" s="12"/>
      <c r="V58" s="12"/>
      <c r="W58" s="112" t="s">
        <v>145</v>
      </c>
      <c r="X58" s="95">
        <f>X57*X56</f>
        <v>2</v>
      </c>
      <c r="Y58" s="12"/>
      <c r="Z58" s="12"/>
      <c r="AA58" s="12"/>
    </row>
    <row r="59" spans="1:27" ht="14.25" hidden="1" thickBot="1" x14ac:dyDescent="0.3">
      <c r="A59" s="2"/>
      <c r="B59" s="2"/>
      <c r="C59" s="2"/>
      <c r="D59" s="2"/>
      <c r="E59" s="2"/>
      <c r="F59" s="2"/>
      <c r="G59" s="2"/>
      <c r="H59" s="2"/>
      <c r="I59" s="2"/>
      <c r="J59" s="2"/>
      <c r="K59" s="2"/>
      <c r="L59" s="93"/>
      <c r="M59" s="101"/>
      <c r="N59" s="92"/>
      <c r="O59" s="101"/>
      <c r="P59" s="93"/>
      <c r="Q59" s="102"/>
      <c r="R59" s="101"/>
      <c r="S59" s="2"/>
      <c r="T59" s="2"/>
      <c r="U59" s="2"/>
      <c r="V59" s="2"/>
      <c r="W59" s="2"/>
      <c r="X59" s="2"/>
      <c r="Y59" s="2"/>
      <c r="Z59" s="2"/>
      <c r="AA59" s="2"/>
    </row>
    <row r="60" spans="1:27" ht="14.25" hidden="1" thickBot="1" x14ac:dyDescent="0.3">
      <c r="A60" s="103" t="s">
        <v>152</v>
      </c>
      <c r="B60" s="103" t="s">
        <v>138</v>
      </c>
      <c r="C60" s="2"/>
      <c r="D60" s="2"/>
      <c r="E60" s="2"/>
      <c r="F60" s="2"/>
      <c r="G60" s="2"/>
      <c r="H60" s="2"/>
      <c r="I60" s="2"/>
      <c r="J60" s="2"/>
      <c r="K60" s="2"/>
      <c r="L60" s="93"/>
      <c r="M60" s="101"/>
      <c r="N60" s="92"/>
      <c r="O60" s="101"/>
      <c r="P60" s="93"/>
      <c r="Q60" s="102"/>
      <c r="R60" s="101"/>
      <c r="S60" s="2"/>
      <c r="T60" s="2"/>
      <c r="U60" s="2"/>
      <c r="V60" s="2"/>
      <c r="W60" s="2"/>
      <c r="X60" s="2"/>
      <c r="Y60" s="2"/>
      <c r="Z60" s="2"/>
      <c r="AA60" s="2"/>
    </row>
    <row r="61" spans="1:27" hidden="1" x14ac:dyDescent="0.25">
      <c r="A61" s="104" t="s">
        <v>153</v>
      </c>
      <c r="B61" s="96" t="s">
        <v>225</v>
      </c>
      <c r="C61" s="2"/>
      <c r="D61" s="2"/>
      <c r="E61" s="2"/>
      <c r="F61" s="2"/>
      <c r="G61" s="2"/>
      <c r="H61" s="2"/>
      <c r="I61" s="2"/>
      <c r="J61" s="2"/>
      <c r="K61" s="2"/>
      <c r="L61" s="93"/>
      <c r="M61" s="101"/>
      <c r="N61" s="92"/>
      <c r="O61" s="101"/>
      <c r="P61" s="93"/>
      <c r="Q61" s="102"/>
      <c r="R61" s="101"/>
      <c r="S61" s="2"/>
      <c r="T61" s="2"/>
      <c r="U61" s="2"/>
      <c r="V61" s="2"/>
      <c r="W61" s="2"/>
      <c r="X61" s="2"/>
      <c r="Y61" s="2"/>
      <c r="Z61" s="2"/>
      <c r="AA61" s="2"/>
    </row>
    <row r="62" spans="1:27" hidden="1" x14ac:dyDescent="0.25">
      <c r="A62" s="105" t="s">
        <v>154</v>
      </c>
      <c r="B62" s="96" t="s">
        <v>226</v>
      </c>
      <c r="C62" s="2"/>
      <c r="D62" s="2"/>
      <c r="E62" s="2"/>
      <c r="F62" s="2"/>
      <c r="G62" s="2"/>
      <c r="H62" s="2"/>
      <c r="I62" s="2"/>
      <c r="J62" s="2"/>
      <c r="K62" s="2"/>
      <c r="L62" s="93"/>
      <c r="M62" s="101"/>
      <c r="N62" s="92"/>
      <c r="O62" s="101"/>
      <c r="P62" s="93"/>
      <c r="Q62" s="102"/>
      <c r="R62" s="101"/>
      <c r="S62" s="2"/>
      <c r="T62" s="2"/>
      <c r="U62" s="2"/>
      <c r="V62" s="2"/>
      <c r="W62" s="2"/>
      <c r="X62" s="2"/>
      <c r="Y62" s="2"/>
      <c r="Z62" s="2"/>
      <c r="AA62" s="2"/>
    </row>
    <row r="63" spans="1:27" hidden="1" x14ac:dyDescent="0.25">
      <c r="A63" s="105" t="s">
        <v>155</v>
      </c>
      <c r="B63" s="96" t="s">
        <v>227</v>
      </c>
      <c r="C63" s="2"/>
      <c r="D63" s="2"/>
      <c r="E63" s="2"/>
      <c r="F63" s="2"/>
      <c r="G63" s="2"/>
      <c r="H63" s="2"/>
      <c r="I63" s="2"/>
      <c r="J63" s="2"/>
      <c r="K63" s="2"/>
      <c r="L63" s="93"/>
      <c r="M63" s="101"/>
      <c r="N63" s="92"/>
      <c r="O63" s="101"/>
      <c r="P63" s="93"/>
      <c r="Q63" s="102"/>
      <c r="R63" s="101"/>
      <c r="S63" s="2"/>
      <c r="T63" s="2"/>
      <c r="U63" s="2"/>
      <c r="V63" s="2"/>
      <c r="W63" s="2"/>
      <c r="X63" s="2"/>
      <c r="Y63" s="2"/>
      <c r="Z63" s="2"/>
      <c r="AA63" s="2"/>
    </row>
    <row r="64" spans="1:27" hidden="1" x14ac:dyDescent="0.25">
      <c r="A64" s="105" t="s">
        <v>156</v>
      </c>
      <c r="B64" s="96" t="s">
        <v>228</v>
      </c>
      <c r="C64" s="2"/>
      <c r="D64" s="2"/>
      <c r="E64" s="2"/>
      <c r="F64" s="2"/>
      <c r="G64" s="2"/>
      <c r="H64" s="2"/>
      <c r="I64" s="2"/>
      <c r="J64" s="2"/>
      <c r="K64" s="2"/>
      <c r="L64" s="93"/>
      <c r="M64" s="101"/>
      <c r="N64" s="92"/>
      <c r="O64" s="101"/>
      <c r="P64" s="93"/>
      <c r="Q64" s="102"/>
      <c r="R64" s="101"/>
      <c r="S64" s="2"/>
      <c r="T64" s="2"/>
      <c r="U64" s="2"/>
      <c r="V64" s="2"/>
      <c r="W64" s="2"/>
      <c r="X64" s="2"/>
      <c r="Y64" s="2"/>
      <c r="Z64" s="2"/>
      <c r="AA64" s="2"/>
    </row>
    <row r="65" spans="1:27" hidden="1" x14ac:dyDescent="0.25">
      <c r="A65" s="105" t="s">
        <v>149</v>
      </c>
      <c r="B65" s="96" t="s">
        <v>228</v>
      </c>
      <c r="C65" s="2"/>
      <c r="D65" s="2"/>
      <c r="E65" s="2"/>
      <c r="F65" s="2"/>
      <c r="G65" s="2"/>
      <c r="H65" s="2"/>
      <c r="I65" s="2"/>
      <c r="J65" s="2"/>
      <c r="K65" s="2"/>
      <c r="L65" s="93"/>
      <c r="M65" s="101"/>
      <c r="N65" s="92"/>
      <c r="O65" s="101"/>
      <c r="P65" s="93"/>
      <c r="Q65" s="102"/>
      <c r="R65" s="101"/>
      <c r="S65" s="2"/>
      <c r="T65" s="2"/>
      <c r="U65" s="2"/>
      <c r="V65" s="2"/>
      <c r="W65" s="2"/>
      <c r="X65" s="2"/>
      <c r="Y65" s="2"/>
      <c r="Z65" s="2"/>
      <c r="AA65" s="2"/>
    </row>
    <row r="66" spans="1:27" hidden="1" x14ac:dyDescent="0.25">
      <c r="A66" s="105" t="s">
        <v>157</v>
      </c>
      <c r="B66" s="96" t="s">
        <v>229</v>
      </c>
      <c r="C66" s="2"/>
      <c r="D66" s="2"/>
      <c r="E66" s="2"/>
      <c r="F66" s="2"/>
      <c r="G66" s="2"/>
      <c r="H66" s="2"/>
      <c r="I66" s="2"/>
      <c r="J66" s="2"/>
      <c r="K66" s="2"/>
      <c r="L66" s="93"/>
      <c r="M66" s="101"/>
      <c r="N66" s="92"/>
      <c r="O66" s="101"/>
      <c r="P66" s="93"/>
      <c r="Q66" s="102"/>
      <c r="R66" s="101"/>
      <c r="S66" s="2"/>
      <c r="T66" s="2"/>
      <c r="U66" s="2"/>
      <c r="V66" s="2"/>
      <c r="W66" s="2"/>
      <c r="X66" s="2"/>
      <c r="Y66" s="2"/>
      <c r="Z66" s="2"/>
      <c r="AA66" s="2"/>
    </row>
    <row r="67" spans="1:27" hidden="1" x14ac:dyDescent="0.25">
      <c r="A67" s="105" t="s">
        <v>158</v>
      </c>
      <c r="B67" s="96" t="s">
        <v>230</v>
      </c>
      <c r="C67" s="2"/>
      <c r="D67" s="2"/>
      <c r="E67" s="2"/>
      <c r="F67" s="2"/>
      <c r="G67" s="2"/>
      <c r="H67" s="2"/>
      <c r="I67" s="2"/>
      <c r="J67" s="2"/>
      <c r="K67" s="2"/>
      <c r="L67" s="93"/>
      <c r="M67" s="101"/>
      <c r="N67" s="92"/>
      <c r="O67" s="101"/>
      <c r="P67" s="93"/>
      <c r="Q67" s="102"/>
      <c r="R67" s="101"/>
      <c r="S67" s="2"/>
      <c r="T67" s="2"/>
      <c r="U67" s="2"/>
      <c r="V67" s="2"/>
      <c r="W67" s="2"/>
      <c r="X67" s="2"/>
      <c r="Y67" s="2"/>
      <c r="Z67" s="2"/>
      <c r="AA67" s="2"/>
    </row>
    <row r="68" spans="1:27" hidden="1" x14ac:dyDescent="0.25">
      <c r="A68" s="105" t="s">
        <v>159</v>
      </c>
      <c r="B68" s="96" t="s">
        <v>231</v>
      </c>
      <c r="C68" s="2"/>
      <c r="D68" s="2"/>
      <c r="E68" s="2"/>
      <c r="F68" s="2"/>
      <c r="G68" s="2"/>
      <c r="H68" s="2"/>
      <c r="I68" s="2"/>
      <c r="J68" s="2"/>
      <c r="K68" s="2"/>
      <c r="L68" s="93"/>
      <c r="M68" s="101"/>
      <c r="N68" s="92"/>
      <c r="O68" s="101"/>
      <c r="P68" s="93"/>
      <c r="Q68" s="102"/>
      <c r="R68" s="101"/>
      <c r="S68" s="2"/>
      <c r="T68" s="2"/>
      <c r="U68" s="2"/>
      <c r="V68" s="2"/>
      <c r="W68" s="2"/>
      <c r="X68" s="2"/>
      <c r="Y68" s="2"/>
      <c r="Z68" s="2"/>
      <c r="AA68" s="2"/>
    </row>
    <row r="69" spans="1:27" hidden="1" x14ac:dyDescent="0.25">
      <c r="A69" s="105" t="s">
        <v>160</v>
      </c>
      <c r="B69" s="96" t="s">
        <v>232</v>
      </c>
      <c r="C69" s="2"/>
      <c r="D69" s="2"/>
      <c r="E69" s="2"/>
      <c r="F69" s="2"/>
      <c r="G69" s="2"/>
      <c r="H69" s="2"/>
      <c r="I69" s="2"/>
      <c r="J69" s="2"/>
      <c r="K69" s="2"/>
      <c r="L69" s="93"/>
      <c r="M69" s="101"/>
      <c r="N69" s="92"/>
      <c r="O69" s="101"/>
      <c r="P69" s="93"/>
      <c r="Q69" s="102"/>
      <c r="R69" s="101"/>
      <c r="S69" s="2"/>
      <c r="T69" s="2"/>
      <c r="U69" s="2"/>
      <c r="V69" s="2"/>
      <c r="W69" s="2"/>
      <c r="X69" s="2"/>
      <c r="Y69" s="2"/>
      <c r="Z69" s="2"/>
      <c r="AA69" s="2"/>
    </row>
    <row r="70" spans="1:27" hidden="1" x14ac:dyDescent="0.25">
      <c r="A70" s="105" t="s">
        <v>161</v>
      </c>
      <c r="B70" s="96" t="s">
        <v>233</v>
      </c>
      <c r="C70" s="2"/>
      <c r="D70" s="2"/>
      <c r="E70" s="2"/>
      <c r="F70" s="2"/>
      <c r="G70" s="2"/>
      <c r="H70" s="2"/>
      <c r="I70" s="2"/>
      <c r="J70" s="2"/>
      <c r="K70" s="2"/>
      <c r="L70" s="93"/>
      <c r="M70" s="101"/>
      <c r="N70" s="92"/>
      <c r="O70" s="101"/>
      <c r="P70" s="93"/>
      <c r="Q70" s="102"/>
      <c r="R70" s="101"/>
      <c r="S70" s="2"/>
      <c r="T70" s="2"/>
      <c r="U70" s="2"/>
      <c r="V70" s="2"/>
      <c r="W70" s="2"/>
      <c r="X70" s="2"/>
      <c r="Y70" s="2"/>
      <c r="Z70" s="2"/>
      <c r="AA70" s="2"/>
    </row>
    <row r="71" spans="1:27" hidden="1" x14ac:dyDescent="0.25">
      <c r="A71" s="105" t="s">
        <v>162</v>
      </c>
      <c r="B71" s="96" t="s">
        <v>234</v>
      </c>
      <c r="C71" s="2"/>
      <c r="D71" s="2"/>
      <c r="E71" s="2"/>
      <c r="F71" s="2"/>
      <c r="G71" s="2"/>
      <c r="H71" s="2"/>
      <c r="I71" s="2"/>
      <c r="J71" s="2"/>
      <c r="K71" s="2"/>
      <c r="L71" s="93"/>
      <c r="M71" s="101"/>
      <c r="N71" s="92"/>
      <c r="O71" s="101"/>
      <c r="P71" s="93"/>
      <c r="Q71" s="102"/>
      <c r="R71" s="101"/>
      <c r="S71" s="2"/>
      <c r="T71" s="2"/>
      <c r="U71" s="2"/>
      <c r="V71" s="2"/>
      <c r="W71" s="2"/>
      <c r="X71" s="2"/>
      <c r="Y71" s="2"/>
      <c r="Z71" s="2"/>
      <c r="AA71" s="2"/>
    </row>
    <row r="72" spans="1:27" hidden="1" x14ac:dyDescent="0.25">
      <c r="A72" s="105" t="s">
        <v>163</v>
      </c>
      <c r="B72" s="96" t="s">
        <v>235</v>
      </c>
      <c r="C72" s="12"/>
      <c r="D72" s="12"/>
      <c r="E72" s="12"/>
      <c r="F72" s="12"/>
      <c r="G72" s="12"/>
      <c r="H72" s="12"/>
      <c r="I72" s="12"/>
      <c r="J72" s="12"/>
      <c r="K72" s="12"/>
      <c r="L72" s="97"/>
      <c r="M72" s="98"/>
      <c r="N72" s="99"/>
      <c r="O72" s="98"/>
      <c r="P72" s="97"/>
      <c r="Q72" s="100"/>
      <c r="R72" s="98"/>
      <c r="S72" s="12"/>
      <c r="T72" s="12"/>
      <c r="U72" s="12"/>
      <c r="V72" s="12"/>
      <c r="W72" s="12"/>
      <c r="X72" s="12"/>
      <c r="Y72" s="12"/>
      <c r="Z72" s="12"/>
      <c r="AA72" s="12"/>
    </row>
    <row r="73" spans="1:27" hidden="1" x14ac:dyDescent="0.25">
      <c r="A73" s="12"/>
      <c r="B73" s="12"/>
      <c r="C73" s="12"/>
      <c r="D73" s="12"/>
      <c r="E73" s="12"/>
      <c r="F73" s="12"/>
      <c r="G73" s="12"/>
      <c r="H73" s="12"/>
      <c r="I73" s="12"/>
      <c r="J73" s="12"/>
      <c r="K73" s="12"/>
      <c r="L73" s="97"/>
      <c r="M73" s="98"/>
      <c r="N73" s="99"/>
      <c r="O73" s="98"/>
      <c r="P73" s="97"/>
      <c r="Q73" s="100"/>
      <c r="R73" s="98"/>
      <c r="S73" s="12"/>
      <c r="T73" s="12"/>
      <c r="U73" s="12"/>
      <c r="V73" s="12"/>
      <c r="W73" s="12"/>
      <c r="X73" s="12"/>
      <c r="Y73" s="12"/>
      <c r="Z73" s="12"/>
      <c r="AA73" s="12"/>
    </row>
    <row r="74" spans="1:27" ht="15" hidden="1" thickBot="1" x14ac:dyDescent="0.35">
      <c r="A74" s="106"/>
      <c r="B74" s="106"/>
      <c r="C74" s="106"/>
      <c r="D74" s="106"/>
      <c r="E74" s="106"/>
      <c r="F74" s="106"/>
      <c r="G74" s="106"/>
      <c r="H74" s="106"/>
      <c r="I74" s="106"/>
      <c r="J74" s="106"/>
      <c r="K74" s="106"/>
      <c r="L74" s="107"/>
      <c r="M74" s="108"/>
      <c r="N74" s="109"/>
      <c r="O74" s="108"/>
      <c r="P74" s="107"/>
      <c r="Q74" s="110"/>
      <c r="R74" s="108"/>
      <c r="S74" s="106"/>
      <c r="T74" s="106"/>
      <c r="U74" s="106"/>
      <c r="V74" s="106"/>
      <c r="W74" s="106"/>
      <c r="X74" s="106"/>
      <c r="Y74" s="106"/>
      <c r="Z74" s="106"/>
      <c r="AA74" s="106"/>
    </row>
    <row r="75" spans="1:27" ht="14.25" hidden="1" thickBot="1" x14ac:dyDescent="0.3">
      <c r="A75" s="103" t="s">
        <v>164</v>
      </c>
      <c r="B75" s="103" t="s">
        <v>138</v>
      </c>
      <c r="C75" s="12"/>
      <c r="D75" s="12"/>
      <c r="E75" s="12"/>
      <c r="F75" s="12"/>
      <c r="G75" s="12"/>
      <c r="H75" s="12"/>
      <c r="I75" s="12"/>
      <c r="J75" s="12"/>
      <c r="K75" s="12"/>
      <c r="L75" s="97"/>
      <c r="M75" s="98"/>
      <c r="N75" s="99"/>
      <c r="O75" s="98"/>
      <c r="P75" s="97"/>
      <c r="Q75" s="100"/>
      <c r="R75" s="98"/>
      <c r="S75" s="12"/>
      <c r="T75" s="12"/>
      <c r="U75" s="12"/>
      <c r="V75" s="12"/>
      <c r="W75" s="12"/>
      <c r="X75" s="12"/>
      <c r="Y75" s="12"/>
      <c r="Z75" s="12"/>
      <c r="AA75" s="12"/>
    </row>
    <row r="76" spans="1:27" hidden="1" x14ac:dyDescent="0.25">
      <c r="A76" s="104" t="s">
        <v>165</v>
      </c>
      <c r="B76" s="96" t="str">
        <f>RIGHT(A76,10)</f>
        <v>40/250/200</v>
      </c>
      <c r="C76" s="2"/>
      <c r="D76" s="2"/>
      <c r="E76" s="2"/>
      <c r="F76" s="2"/>
      <c r="G76" s="2"/>
      <c r="H76" s="2"/>
      <c r="I76" s="2"/>
      <c r="J76" s="2"/>
      <c r="K76" s="2"/>
      <c r="L76" s="93"/>
      <c r="M76" s="101"/>
      <c r="N76" s="92"/>
      <c r="O76" s="101"/>
      <c r="P76" s="93"/>
      <c r="Q76" s="111"/>
      <c r="R76" s="101"/>
      <c r="S76" s="2"/>
      <c r="T76" s="2"/>
      <c r="U76" s="2"/>
      <c r="V76" s="2"/>
      <c r="W76" s="2"/>
      <c r="X76" s="2"/>
      <c r="Y76" s="2"/>
      <c r="Z76" s="2"/>
      <c r="AA76" s="2"/>
    </row>
    <row r="77" spans="1:27" hidden="1" x14ac:dyDescent="0.25">
      <c r="A77" s="105" t="s">
        <v>166</v>
      </c>
      <c r="B77" s="96" t="str">
        <f>RIGHT(A77,10)</f>
        <v>40/280/135</v>
      </c>
      <c r="C77" s="2"/>
      <c r="D77" s="2"/>
      <c r="E77" s="2"/>
      <c r="F77" s="2"/>
      <c r="G77" s="2"/>
      <c r="H77" s="2"/>
      <c r="I77" s="2"/>
      <c r="J77" s="2"/>
      <c r="K77" s="2"/>
      <c r="L77" s="93"/>
      <c r="M77" s="101"/>
      <c r="N77" s="92"/>
      <c r="O77" s="101"/>
      <c r="P77" s="93"/>
      <c r="Q77" s="102"/>
      <c r="R77" s="101"/>
      <c r="S77" s="2"/>
      <c r="T77" s="2"/>
      <c r="U77" s="2"/>
      <c r="V77" s="2"/>
      <c r="W77" s="2"/>
      <c r="X77" s="2"/>
      <c r="Y77" s="2"/>
      <c r="Z77" s="2"/>
      <c r="AA77" s="2"/>
    </row>
    <row r="78" spans="1:27" hidden="1" x14ac:dyDescent="0.25">
      <c r="A78" s="105" t="s">
        <v>167</v>
      </c>
      <c r="B78" s="96" t="str">
        <f>RIGHT(A78,10)</f>
        <v>40/300/150</v>
      </c>
      <c r="C78" s="2"/>
      <c r="D78" s="2"/>
      <c r="E78" s="2"/>
      <c r="F78" s="2"/>
      <c r="G78" s="2"/>
      <c r="H78" s="2"/>
      <c r="I78" s="2"/>
      <c r="J78" s="2"/>
      <c r="K78" s="2"/>
      <c r="L78" s="93"/>
      <c r="M78" s="101"/>
      <c r="N78" s="92"/>
      <c r="O78" s="101"/>
      <c r="P78" s="93"/>
      <c r="Q78" s="102"/>
      <c r="R78" s="101"/>
      <c r="S78" s="2"/>
      <c r="T78" s="2"/>
      <c r="U78" s="2"/>
      <c r="V78" s="2"/>
      <c r="W78" s="2"/>
      <c r="X78" s="2"/>
      <c r="Y78" s="2"/>
      <c r="Z78" s="2"/>
      <c r="AA78" s="2"/>
    </row>
    <row r="79" spans="1:27" hidden="1" x14ac:dyDescent="0.25">
      <c r="A79" s="105" t="s">
        <v>168</v>
      </c>
      <c r="B79" s="96" t="str">
        <f>RIGHT(A79,10)</f>
        <v>40/300/300</v>
      </c>
      <c r="C79" s="2"/>
      <c r="D79" s="2"/>
      <c r="E79" s="2"/>
      <c r="F79" s="2"/>
      <c r="G79" s="2"/>
      <c r="H79" s="2"/>
      <c r="I79" s="2"/>
      <c r="J79" s="2"/>
      <c r="K79" s="2"/>
      <c r="L79" s="93"/>
      <c r="M79" s="101"/>
      <c r="N79" s="92"/>
      <c r="O79" s="101"/>
      <c r="P79" s="93"/>
      <c r="Q79" s="102"/>
      <c r="R79" s="101"/>
      <c r="S79" s="2"/>
      <c r="T79" s="2"/>
      <c r="U79" s="2"/>
      <c r="V79" s="2"/>
      <c r="W79" s="2"/>
      <c r="X79" s="2"/>
      <c r="Y79" s="2"/>
      <c r="Z79" s="2"/>
      <c r="AA79" s="2"/>
    </row>
    <row r="80" spans="1:27" hidden="1" x14ac:dyDescent="0.25">
      <c r="A80" s="105" t="s">
        <v>169</v>
      </c>
      <c r="B80" s="96" t="str">
        <f t="shared" ref="B80:B88" si="0">RIGHT(A80,10)</f>
        <v>40/360/300</v>
      </c>
      <c r="C80" s="2"/>
      <c r="D80" s="2"/>
      <c r="E80" s="2"/>
      <c r="F80" s="2"/>
      <c r="G80" s="2"/>
      <c r="H80" s="2"/>
      <c r="I80" s="2"/>
      <c r="J80" s="2"/>
      <c r="K80" s="2"/>
      <c r="L80" s="93"/>
      <c r="M80" s="101"/>
      <c r="N80" s="92"/>
      <c r="O80" s="101"/>
      <c r="P80" s="93"/>
      <c r="Q80" s="102"/>
      <c r="R80" s="101"/>
      <c r="S80" s="2"/>
      <c r="T80" s="2"/>
      <c r="U80" s="2"/>
      <c r="V80" s="2"/>
      <c r="W80" s="2"/>
      <c r="X80" s="2"/>
      <c r="Y80" s="2"/>
      <c r="Z80" s="2"/>
      <c r="AA80" s="2"/>
    </row>
    <row r="81" spans="1:27" hidden="1" x14ac:dyDescent="0.25">
      <c r="A81" s="105" t="s">
        <v>170</v>
      </c>
      <c r="B81" s="96" t="str">
        <f t="shared" si="0"/>
        <v>40/400/200</v>
      </c>
      <c r="C81" s="2"/>
      <c r="D81" s="2"/>
      <c r="E81" s="2"/>
      <c r="F81" s="2"/>
      <c r="G81" s="2"/>
      <c r="H81" s="2"/>
      <c r="I81" s="2"/>
      <c r="J81" s="2"/>
      <c r="K81" s="2"/>
      <c r="L81" s="93"/>
      <c r="M81" s="101"/>
      <c r="N81" s="92"/>
      <c r="O81" s="101"/>
      <c r="P81" s="93"/>
      <c r="Q81" s="102"/>
      <c r="R81" s="101"/>
      <c r="S81" s="2"/>
      <c r="T81" s="2"/>
      <c r="U81" s="2"/>
      <c r="V81" s="2"/>
      <c r="W81" s="2"/>
      <c r="X81" s="2"/>
      <c r="Y81" s="2"/>
      <c r="Z81" s="2"/>
      <c r="AA81" s="2"/>
    </row>
    <row r="82" spans="1:27" hidden="1" x14ac:dyDescent="0.25">
      <c r="A82" s="105" t="s">
        <v>171</v>
      </c>
      <c r="B82" s="96" t="str">
        <f t="shared" si="0"/>
        <v>40/400/300</v>
      </c>
      <c r="C82" s="2"/>
      <c r="D82" s="2"/>
      <c r="E82" s="2"/>
      <c r="F82" s="2"/>
      <c r="G82" s="2"/>
      <c r="H82" s="2"/>
      <c r="I82" s="2"/>
      <c r="J82" s="2"/>
      <c r="K82" s="2"/>
      <c r="L82" s="93"/>
      <c r="M82" s="101"/>
      <c r="N82" s="92"/>
      <c r="O82" s="101"/>
      <c r="P82" s="93"/>
      <c r="Q82" s="102"/>
      <c r="R82" s="101"/>
      <c r="S82" s="2"/>
      <c r="T82" s="2"/>
      <c r="U82" s="2"/>
      <c r="V82" s="2"/>
      <c r="W82" s="2"/>
      <c r="X82" s="2"/>
      <c r="Y82" s="2"/>
      <c r="Z82" s="2"/>
      <c r="AA82" s="2"/>
    </row>
    <row r="83" spans="1:27" hidden="1" x14ac:dyDescent="0.25">
      <c r="A83" s="105" t="s">
        <v>172</v>
      </c>
      <c r="B83" s="96" t="str">
        <f t="shared" si="0"/>
        <v>40/400/400</v>
      </c>
      <c r="C83" s="2"/>
      <c r="D83" s="2"/>
      <c r="E83" s="2"/>
      <c r="F83" s="2"/>
      <c r="G83" s="2"/>
      <c r="H83" s="2"/>
      <c r="I83" s="2"/>
      <c r="J83" s="2"/>
      <c r="K83" s="2"/>
      <c r="L83" s="93"/>
      <c r="M83" s="101"/>
      <c r="N83" s="92"/>
      <c r="O83" s="101"/>
      <c r="P83" s="93"/>
      <c r="Q83" s="102"/>
      <c r="R83" s="101"/>
      <c r="S83" s="2"/>
      <c r="T83" s="2"/>
      <c r="U83" s="2"/>
      <c r="V83" s="2"/>
      <c r="W83" s="2"/>
      <c r="X83" s="2"/>
      <c r="Y83" s="2"/>
      <c r="Z83" s="2"/>
      <c r="AA83" s="2"/>
    </row>
    <row r="84" spans="1:27" hidden="1" x14ac:dyDescent="0.25">
      <c r="A84" s="105" t="s">
        <v>151</v>
      </c>
      <c r="B84" s="96" t="str">
        <f t="shared" si="0"/>
        <v>40/420/300</v>
      </c>
      <c r="C84" s="2"/>
      <c r="D84" s="2"/>
      <c r="E84" s="2"/>
      <c r="F84" s="2"/>
      <c r="G84" s="2"/>
      <c r="H84" s="2"/>
      <c r="I84" s="2"/>
      <c r="J84" s="2"/>
      <c r="K84" s="2"/>
      <c r="L84" s="93"/>
      <c r="M84" s="101"/>
      <c r="N84" s="92"/>
      <c r="O84" s="101"/>
      <c r="P84" s="93"/>
      <c r="Q84" s="102"/>
      <c r="R84" s="101"/>
      <c r="S84" s="2"/>
      <c r="T84" s="2"/>
      <c r="U84" s="2"/>
      <c r="V84" s="2"/>
      <c r="W84" s="2"/>
      <c r="X84" s="2"/>
      <c r="Y84" s="2"/>
      <c r="Z84" s="2"/>
      <c r="AA84" s="2"/>
    </row>
    <row r="85" spans="1:27" hidden="1" x14ac:dyDescent="0.25">
      <c r="A85" s="105" t="s">
        <v>173</v>
      </c>
      <c r="B85" s="96" t="str">
        <f t="shared" si="0"/>
        <v>40/430/200</v>
      </c>
      <c r="C85" s="2"/>
      <c r="D85" s="2"/>
      <c r="E85" s="2"/>
      <c r="F85" s="2"/>
      <c r="G85" s="2"/>
      <c r="H85" s="2"/>
      <c r="I85" s="2"/>
      <c r="J85" s="2"/>
      <c r="K85" s="2"/>
      <c r="L85" s="93"/>
      <c r="M85" s="101"/>
      <c r="N85" s="92"/>
      <c r="O85" s="101"/>
      <c r="P85" s="93"/>
      <c r="Q85" s="102"/>
      <c r="R85" s="101"/>
      <c r="S85" s="2"/>
      <c r="T85" s="2"/>
      <c r="U85" s="2"/>
      <c r="V85" s="2"/>
      <c r="W85" s="2"/>
      <c r="X85" s="2"/>
      <c r="Y85" s="2"/>
      <c r="Z85" s="2"/>
      <c r="AA85" s="2"/>
    </row>
    <row r="86" spans="1:27" hidden="1" x14ac:dyDescent="0.25">
      <c r="A86" s="105" t="s">
        <v>174</v>
      </c>
      <c r="B86" s="96" t="str">
        <f t="shared" si="0"/>
        <v>40/430/250</v>
      </c>
      <c r="C86" s="2"/>
      <c r="D86" s="2"/>
      <c r="E86" s="2"/>
      <c r="F86" s="2"/>
      <c r="G86" s="2"/>
      <c r="H86" s="2"/>
      <c r="I86" s="2"/>
      <c r="J86" s="2"/>
      <c r="K86" s="2"/>
      <c r="L86" s="93"/>
      <c r="M86" s="101"/>
      <c r="N86" s="92"/>
      <c r="O86" s="101"/>
      <c r="P86" s="93"/>
      <c r="Q86" s="102"/>
      <c r="R86" s="101"/>
      <c r="S86" s="2"/>
      <c r="T86" s="2"/>
      <c r="U86" s="2"/>
      <c r="V86" s="2"/>
      <c r="W86" s="2"/>
      <c r="X86" s="2"/>
      <c r="Y86" s="2"/>
      <c r="Z86" s="2"/>
      <c r="AA86" s="2"/>
    </row>
    <row r="87" spans="1:27" hidden="1" x14ac:dyDescent="0.25">
      <c r="A87" s="105" t="s">
        <v>175</v>
      </c>
      <c r="B87" s="96" t="str">
        <f t="shared" si="0"/>
        <v>40/500/200</v>
      </c>
      <c r="C87" s="2"/>
      <c r="D87" s="2"/>
      <c r="E87" s="2"/>
      <c r="F87" s="2"/>
      <c r="G87" s="2"/>
      <c r="H87" s="2"/>
      <c r="I87" s="2"/>
      <c r="J87" s="2"/>
      <c r="K87" s="2"/>
      <c r="L87" s="93"/>
      <c r="M87" s="101"/>
      <c r="N87" s="92"/>
      <c r="O87" s="101"/>
      <c r="P87" s="93"/>
      <c r="Q87" s="102"/>
      <c r="R87" s="101"/>
      <c r="S87" s="2"/>
      <c r="T87" s="2"/>
      <c r="U87" s="2"/>
      <c r="V87" s="2"/>
      <c r="W87" s="2"/>
      <c r="X87" s="2"/>
      <c r="Y87" s="2"/>
      <c r="Z87" s="2"/>
      <c r="AA87" s="2"/>
    </row>
    <row r="88" spans="1:27" hidden="1" x14ac:dyDescent="0.25">
      <c r="A88" s="105" t="s">
        <v>176</v>
      </c>
      <c r="B88" s="96" t="str">
        <f t="shared" si="0"/>
        <v>40/500/250</v>
      </c>
      <c r="C88" s="2"/>
      <c r="D88" s="2"/>
      <c r="E88" s="2"/>
      <c r="F88" s="2"/>
      <c r="G88" s="2"/>
      <c r="H88" s="2"/>
      <c r="I88" s="2"/>
      <c r="J88" s="2"/>
      <c r="K88" s="2"/>
      <c r="L88" s="93"/>
      <c r="M88" s="101"/>
      <c r="N88" s="92"/>
      <c r="O88" s="101"/>
      <c r="P88" s="93"/>
      <c r="Q88" s="102"/>
      <c r="R88" s="101"/>
      <c r="S88" s="2"/>
      <c r="T88" s="2"/>
      <c r="U88" s="2"/>
      <c r="V88" s="2"/>
      <c r="W88" s="2"/>
      <c r="X88" s="2"/>
      <c r="Y88" s="2"/>
      <c r="Z88" s="2"/>
      <c r="AA88" s="2"/>
    </row>
    <row r="89" spans="1:27" hidden="1" x14ac:dyDescent="0.25">
      <c r="A89" s="2"/>
      <c r="B89" s="2"/>
      <c r="C89" s="2"/>
      <c r="D89" s="2"/>
      <c r="E89" s="2"/>
      <c r="F89" s="2"/>
      <c r="G89" s="2"/>
      <c r="H89" s="2"/>
      <c r="I89" s="2"/>
      <c r="J89" s="2"/>
      <c r="K89" s="2"/>
      <c r="L89" s="93"/>
      <c r="M89" s="101"/>
      <c r="N89" s="92"/>
      <c r="O89" s="101"/>
      <c r="P89" s="93"/>
      <c r="Q89" s="102"/>
      <c r="R89" s="101"/>
      <c r="S89" s="2"/>
      <c r="T89" s="2"/>
      <c r="U89" s="2"/>
      <c r="V89" s="2"/>
      <c r="W89" s="2"/>
      <c r="X89" s="2"/>
      <c r="Y89" s="2"/>
      <c r="Z89" s="2"/>
      <c r="AA89" s="2"/>
    </row>
    <row r="90" spans="1:27" hidden="1" x14ac:dyDescent="0.25">
      <c r="A90" s="2"/>
      <c r="B90" s="2"/>
      <c r="C90" s="2"/>
      <c r="D90" s="2"/>
      <c r="E90" s="2"/>
      <c r="F90" s="2"/>
      <c r="G90" s="2"/>
      <c r="H90" s="2"/>
      <c r="I90" s="2"/>
      <c r="J90" s="2"/>
      <c r="K90" s="2"/>
      <c r="L90" s="93"/>
      <c r="M90" s="101"/>
      <c r="N90" s="92"/>
      <c r="O90" s="101"/>
      <c r="P90" s="93"/>
      <c r="Q90" s="102"/>
      <c r="R90" s="101"/>
      <c r="S90" s="2"/>
      <c r="T90" s="2"/>
      <c r="U90" s="2"/>
      <c r="V90" s="2"/>
      <c r="W90" s="2"/>
      <c r="X90" s="2"/>
      <c r="Y90" s="2"/>
      <c r="Z90" s="2"/>
      <c r="AA90" s="2"/>
    </row>
    <row r="91" spans="1:27" hidden="1" x14ac:dyDescent="0.25">
      <c r="A91" s="2"/>
      <c r="B91" s="2"/>
      <c r="C91" s="2"/>
      <c r="D91" s="2"/>
      <c r="E91" s="2"/>
      <c r="F91" s="2"/>
      <c r="G91" s="2"/>
      <c r="H91" s="2"/>
      <c r="I91" s="2"/>
      <c r="J91" s="2"/>
      <c r="K91" s="2"/>
      <c r="L91" s="93"/>
      <c r="M91" s="101"/>
      <c r="N91" s="92"/>
      <c r="O91" s="101"/>
      <c r="P91" s="93"/>
      <c r="Q91" s="102"/>
      <c r="R91" s="101"/>
      <c r="S91" s="2"/>
      <c r="T91" s="2"/>
      <c r="U91" s="2"/>
      <c r="V91" s="2"/>
      <c r="W91" s="2"/>
      <c r="X91" s="2"/>
      <c r="Y91" s="2"/>
      <c r="Z91" s="2"/>
      <c r="AA91" s="2"/>
    </row>
    <row r="92" spans="1:27" hidden="1" x14ac:dyDescent="0.25">
      <c r="A92" s="2"/>
      <c r="B92" s="2"/>
      <c r="C92" s="2"/>
      <c r="D92" s="2"/>
      <c r="E92" s="2"/>
      <c r="F92" s="2"/>
      <c r="G92" s="2"/>
      <c r="H92" s="2"/>
      <c r="I92" s="2"/>
      <c r="J92" s="2"/>
      <c r="K92" s="2"/>
      <c r="L92" s="2"/>
      <c r="M92" s="101"/>
      <c r="N92" s="92"/>
      <c r="O92" s="101"/>
      <c r="P92" s="93"/>
      <c r="Q92" s="102"/>
      <c r="R92" s="101"/>
      <c r="S92" s="2"/>
      <c r="T92" s="2"/>
      <c r="U92" s="2"/>
      <c r="V92" s="2"/>
      <c r="W92" s="2"/>
      <c r="X92" s="2"/>
      <c r="Y92" s="2"/>
      <c r="Z92" s="2"/>
      <c r="AA92" s="2"/>
    </row>
    <row r="93" spans="1:27" hidden="1" x14ac:dyDescent="0.25">
      <c r="A93" s="2"/>
      <c r="B93" s="2"/>
      <c r="C93" s="2"/>
      <c r="D93" s="2"/>
      <c r="E93" s="2"/>
      <c r="F93" s="2"/>
      <c r="G93" s="2"/>
      <c r="H93" s="2"/>
      <c r="I93" s="2"/>
      <c r="J93" s="2"/>
      <c r="K93" s="2"/>
      <c r="L93" s="2"/>
      <c r="M93" s="101"/>
      <c r="N93" s="92"/>
      <c r="O93" s="101"/>
      <c r="P93" s="93"/>
      <c r="Q93" s="102"/>
      <c r="R93" s="101"/>
      <c r="S93" s="2"/>
      <c r="T93" s="2"/>
      <c r="U93" s="2"/>
      <c r="V93" s="2"/>
      <c r="W93" s="2"/>
      <c r="X93" s="2"/>
      <c r="Y93" s="2"/>
      <c r="Z93" s="2"/>
      <c r="AA93" s="2"/>
    </row>
    <row r="94" spans="1:27" hidden="1" x14ac:dyDescent="0.25">
      <c r="A94" s="2"/>
      <c r="B94" s="2"/>
      <c r="C94" s="2"/>
      <c r="D94" s="2"/>
      <c r="E94" s="2"/>
      <c r="F94" s="2"/>
      <c r="G94" s="2"/>
      <c r="H94" s="2"/>
      <c r="I94" s="2"/>
      <c r="J94" s="2"/>
      <c r="K94" s="2"/>
      <c r="L94" s="2"/>
      <c r="M94" s="101"/>
      <c r="N94" s="92"/>
      <c r="O94" s="101"/>
      <c r="P94" s="93"/>
      <c r="Q94" s="102"/>
      <c r="R94" s="101"/>
      <c r="S94" s="2"/>
      <c r="T94" s="2"/>
      <c r="U94" s="2"/>
      <c r="V94" s="2"/>
      <c r="W94" s="2"/>
      <c r="X94" s="2"/>
      <c r="Y94" s="2"/>
      <c r="Z94" s="2"/>
      <c r="AA94" s="2"/>
    </row>
    <row r="95" spans="1:27" hidden="1" x14ac:dyDescent="0.25">
      <c r="A95" s="2"/>
      <c r="B95" s="2"/>
      <c r="C95" s="2"/>
      <c r="D95" s="2"/>
      <c r="E95" s="2"/>
      <c r="F95" s="2"/>
      <c r="G95" s="2"/>
      <c r="H95" s="2"/>
      <c r="I95" s="2"/>
      <c r="J95" s="2"/>
      <c r="K95" s="2"/>
      <c r="L95" s="2"/>
      <c r="M95" s="101"/>
      <c r="N95" s="92"/>
      <c r="O95" s="101"/>
      <c r="P95" s="93"/>
      <c r="Q95" s="102"/>
      <c r="R95" s="101"/>
      <c r="S95" s="2"/>
      <c r="T95" s="2"/>
      <c r="U95" s="2"/>
      <c r="V95" s="2"/>
      <c r="W95" s="2"/>
      <c r="X95" s="2"/>
      <c r="Y95" s="2"/>
      <c r="Z95" s="2"/>
      <c r="AA95" s="2"/>
    </row>
    <row r="96" spans="1:27" hidden="1" x14ac:dyDescent="0.25">
      <c r="A96" s="2"/>
      <c r="B96" s="2"/>
      <c r="C96" s="2"/>
      <c r="D96" s="2"/>
      <c r="E96" s="2"/>
      <c r="F96" s="2"/>
      <c r="G96" s="2"/>
      <c r="H96" s="2"/>
      <c r="I96" s="2"/>
      <c r="J96" s="2"/>
      <c r="K96" s="2"/>
      <c r="L96" s="2"/>
      <c r="M96" s="101"/>
      <c r="N96" s="92"/>
      <c r="O96" s="101"/>
      <c r="P96" s="93"/>
      <c r="Q96" s="102"/>
      <c r="R96" s="101"/>
      <c r="S96" s="2"/>
      <c r="T96" s="2"/>
      <c r="U96" s="2"/>
      <c r="V96" s="2"/>
      <c r="W96" s="2"/>
      <c r="X96" s="2"/>
      <c r="Y96" s="2"/>
      <c r="Z96" s="2"/>
      <c r="AA96" s="2"/>
    </row>
    <row r="97" spans="1:27" hidden="1" x14ac:dyDescent="0.25">
      <c r="A97" s="2"/>
      <c r="B97" s="2"/>
      <c r="C97" s="2"/>
      <c r="D97" s="2"/>
      <c r="E97" s="2"/>
      <c r="F97" s="2"/>
      <c r="G97" s="2"/>
      <c r="H97" s="2"/>
      <c r="I97" s="2"/>
      <c r="J97" s="2"/>
      <c r="K97" s="2"/>
      <c r="L97" s="2"/>
      <c r="M97" s="101"/>
      <c r="N97" s="92"/>
      <c r="O97" s="101"/>
      <c r="P97" s="93"/>
      <c r="Q97" s="102"/>
      <c r="R97" s="101"/>
      <c r="S97" s="2"/>
      <c r="T97" s="2"/>
      <c r="U97" s="2"/>
      <c r="V97" s="2"/>
      <c r="W97" s="2"/>
      <c r="X97" s="2"/>
      <c r="Y97" s="2"/>
      <c r="Z97" s="2"/>
      <c r="AA97" s="2"/>
    </row>
    <row r="98" spans="1:27" hidden="1" x14ac:dyDescent="0.25">
      <c r="A98" s="2"/>
      <c r="B98" s="2"/>
      <c r="C98" s="2"/>
      <c r="D98" s="2"/>
      <c r="E98" s="2"/>
      <c r="F98" s="2"/>
      <c r="G98" s="2"/>
      <c r="H98" s="2"/>
      <c r="I98" s="2"/>
      <c r="J98" s="2"/>
      <c r="K98" s="2"/>
      <c r="L98" s="2"/>
      <c r="M98" s="101"/>
      <c r="N98" s="2"/>
      <c r="O98" s="101"/>
      <c r="P98" s="93"/>
      <c r="Q98" s="102"/>
      <c r="R98" s="101"/>
      <c r="S98" s="2"/>
      <c r="T98" s="2"/>
      <c r="U98" s="2"/>
      <c r="V98" s="2"/>
      <c r="W98" s="2"/>
      <c r="X98" s="2"/>
      <c r="Y98" s="2"/>
      <c r="Z98" s="2"/>
      <c r="AA98" s="2"/>
    </row>
    <row r="99" spans="1:27" hidden="1" x14ac:dyDescent="0.25">
      <c r="A99" s="2"/>
      <c r="B99" s="2"/>
      <c r="C99" s="2"/>
      <c r="D99" s="2"/>
      <c r="E99" s="2"/>
      <c r="F99" s="2"/>
      <c r="G99" s="2"/>
      <c r="H99" s="2"/>
      <c r="I99" s="2"/>
      <c r="J99" s="2"/>
      <c r="K99" s="2"/>
      <c r="L99" s="2"/>
      <c r="M99" s="101"/>
      <c r="N99" s="2"/>
      <c r="O99" s="101"/>
      <c r="P99" s="93"/>
      <c r="Q99" s="102"/>
      <c r="R99" s="101"/>
      <c r="S99" s="2"/>
      <c r="T99" s="2"/>
      <c r="U99" s="2"/>
      <c r="V99" s="2"/>
      <c r="W99" s="2"/>
      <c r="X99" s="2"/>
      <c r="Y99" s="2"/>
      <c r="Z99" s="2"/>
      <c r="AA99" s="2"/>
    </row>
    <row r="100" spans="1:27" hidden="1" x14ac:dyDescent="0.25">
      <c r="A100" s="2"/>
      <c r="B100" s="2"/>
      <c r="C100" s="2"/>
      <c r="D100" s="2"/>
      <c r="E100" s="2"/>
      <c r="F100" s="2"/>
      <c r="G100" s="2"/>
      <c r="H100" s="2"/>
      <c r="I100" s="2"/>
      <c r="J100" s="2"/>
      <c r="K100" s="2"/>
      <c r="L100" s="2"/>
      <c r="M100" s="101"/>
      <c r="N100" s="2"/>
      <c r="O100" s="101"/>
      <c r="P100" s="93"/>
      <c r="Q100" s="102"/>
      <c r="R100" s="101"/>
      <c r="S100" s="2"/>
      <c r="T100" s="2"/>
      <c r="U100" s="2"/>
      <c r="V100" s="2"/>
      <c r="W100" s="2"/>
      <c r="X100" s="2"/>
      <c r="Y100" s="2"/>
      <c r="Z100" s="2"/>
      <c r="AA100" s="2"/>
    </row>
    <row r="101" spans="1:27" hidden="1" x14ac:dyDescent="0.25">
      <c r="A101" s="2"/>
      <c r="B101" s="2"/>
      <c r="C101" s="2"/>
      <c r="D101" s="2"/>
      <c r="E101" s="2"/>
      <c r="F101" s="2"/>
      <c r="G101" s="2"/>
      <c r="H101" s="2"/>
      <c r="I101" s="2"/>
      <c r="J101" s="2"/>
      <c r="K101" s="2"/>
      <c r="L101" s="2"/>
      <c r="M101" s="101"/>
      <c r="N101" s="2"/>
      <c r="O101" s="101"/>
      <c r="P101" s="93"/>
      <c r="Q101" s="102"/>
      <c r="R101" s="101"/>
      <c r="S101" s="2"/>
      <c r="T101" s="2"/>
      <c r="U101" s="2"/>
      <c r="V101" s="2"/>
      <c r="W101" s="2"/>
      <c r="X101" s="2"/>
      <c r="Y101" s="2"/>
      <c r="Z101" s="2"/>
      <c r="AA101" s="2"/>
    </row>
    <row r="102" spans="1:27" hidden="1" x14ac:dyDescent="0.25">
      <c r="A102" s="2"/>
      <c r="B102" s="2"/>
      <c r="C102" s="2"/>
      <c r="D102" s="2"/>
      <c r="E102" s="2"/>
      <c r="F102" s="2"/>
      <c r="G102" s="2"/>
      <c r="H102" s="2"/>
      <c r="I102" s="2"/>
      <c r="J102" s="2"/>
      <c r="K102" s="2"/>
      <c r="L102" s="2"/>
      <c r="M102" s="101"/>
      <c r="N102" s="2"/>
      <c r="O102" s="101"/>
      <c r="P102" s="93"/>
      <c r="Q102" s="102"/>
      <c r="R102" s="101"/>
      <c r="S102" s="2"/>
      <c r="T102" s="2"/>
      <c r="U102" s="2"/>
      <c r="V102" s="2"/>
      <c r="W102" s="2"/>
      <c r="X102" s="2"/>
      <c r="Y102" s="2"/>
      <c r="Z102" s="2"/>
      <c r="AA102" s="2"/>
    </row>
    <row r="103" spans="1:27" hidden="1" x14ac:dyDescent="0.25">
      <c r="A103" s="2"/>
      <c r="B103" s="2"/>
      <c r="C103" s="2"/>
      <c r="D103" s="2"/>
      <c r="E103" s="2"/>
      <c r="F103" s="2"/>
      <c r="G103" s="2"/>
      <c r="H103" s="2"/>
      <c r="I103" s="2"/>
      <c r="J103" s="2"/>
      <c r="K103" s="2"/>
      <c r="L103" s="2"/>
      <c r="M103" s="101"/>
      <c r="N103" s="2"/>
      <c r="O103" s="101"/>
      <c r="P103" s="93"/>
      <c r="Q103" s="102"/>
      <c r="R103" s="101"/>
      <c r="S103" s="2"/>
      <c r="T103" s="2"/>
      <c r="U103" s="2"/>
      <c r="V103" s="2"/>
      <c r="W103" s="2"/>
      <c r="X103" s="2"/>
      <c r="Y103" s="2"/>
      <c r="Z103" s="2"/>
      <c r="AA103" s="2"/>
    </row>
    <row r="104" spans="1:27" hidden="1" x14ac:dyDescent="0.25">
      <c r="A104" s="2"/>
      <c r="B104" s="2"/>
      <c r="C104" s="2"/>
      <c r="D104" s="2"/>
      <c r="E104" s="2"/>
      <c r="F104" s="2"/>
      <c r="G104" s="2"/>
      <c r="H104" s="2"/>
      <c r="I104" s="2"/>
      <c r="J104" s="2"/>
      <c r="K104" s="2"/>
      <c r="L104" s="2"/>
      <c r="M104" s="101"/>
      <c r="N104" s="2"/>
      <c r="O104" s="101"/>
      <c r="P104" s="93"/>
      <c r="Q104" s="102"/>
      <c r="R104" s="101"/>
      <c r="S104" s="2"/>
      <c r="T104" s="2"/>
      <c r="U104" s="2"/>
      <c r="V104" s="2"/>
      <c r="W104" s="2"/>
      <c r="X104" s="2"/>
      <c r="Y104" s="2"/>
      <c r="Z104" s="2"/>
      <c r="AA104" s="2"/>
    </row>
    <row r="105" spans="1:27" hidden="1" x14ac:dyDescent="0.25">
      <c r="A105" s="2"/>
      <c r="B105" s="2"/>
      <c r="C105" s="2"/>
      <c r="D105" s="2"/>
      <c r="E105" s="2"/>
      <c r="F105" s="2"/>
      <c r="G105" s="2"/>
      <c r="H105" s="2"/>
      <c r="I105" s="2"/>
      <c r="J105" s="2"/>
      <c r="K105" s="2"/>
      <c r="L105" s="2"/>
      <c r="M105" s="101"/>
      <c r="N105" s="2"/>
      <c r="O105" s="101"/>
      <c r="P105" s="93"/>
      <c r="Q105" s="102"/>
      <c r="R105" s="101"/>
      <c r="S105" s="2"/>
      <c r="T105" s="2"/>
      <c r="U105" s="2"/>
      <c r="V105" s="2"/>
      <c r="W105" s="2"/>
      <c r="X105" s="2"/>
      <c r="Y105" s="2"/>
      <c r="Z105" s="2"/>
      <c r="AA105" s="2"/>
    </row>
    <row r="106" spans="1:27" hidden="1" x14ac:dyDescent="0.25">
      <c r="A106" s="2"/>
      <c r="B106" s="2"/>
      <c r="C106" s="2"/>
      <c r="D106" s="2"/>
      <c r="E106" s="2"/>
      <c r="F106" s="2"/>
      <c r="G106" s="2"/>
      <c r="H106" s="2"/>
      <c r="I106" s="2"/>
      <c r="J106" s="2"/>
      <c r="K106" s="2"/>
      <c r="L106" s="2"/>
      <c r="M106" s="101"/>
      <c r="N106" s="2"/>
      <c r="O106" s="101"/>
      <c r="P106" s="93"/>
      <c r="Q106" s="102"/>
      <c r="R106" s="101"/>
      <c r="S106" s="2"/>
      <c r="T106" s="2"/>
      <c r="U106" s="2"/>
      <c r="V106" s="2"/>
      <c r="W106" s="2"/>
      <c r="X106" s="2"/>
      <c r="Y106" s="2"/>
      <c r="Z106" s="2"/>
      <c r="AA106" s="2"/>
    </row>
    <row r="107" spans="1:27" hidden="1" x14ac:dyDescent="0.25">
      <c r="A107" s="2"/>
      <c r="B107" s="2"/>
      <c r="C107" s="2"/>
      <c r="D107" s="2"/>
      <c r="E107" s="2"/>
      <c r="F107" s="2"/>
      <c r="G107" s="2"/>
      <c r="H107" s="2"/>
      <c r="I107" s="2"/>
      <c r="J107" s="2"/>
      <c r="K107" s="2"/>
      <c r="L107" s="2"/>
      <c r="M107" s="101"/>
      <c r="N107" s="2"/>
      <c r="O107" s="101"/>
      <c r="P107" s="93"/>
      <c r="Q107" s="102"/>
      <c r="R107" s="101"/>
      <c r="S107" s="2"/>
      <c r="T107" s="2"/>
      <c r="U107" s="2"/>
      <c r="V107" s="2"/>
      <c r="W107" s="2"/>
      <c r="X107" s="2"/>
      <c r="Y107" s="2"/>
      <c r="Z107" s="2"/>
      <c r="AA107" s="2"/>
    </row>
    <row r="108" spans="1:27" hidden="1" x14ac:dyDescent="0.25">
      <c r="A108" s="2"/>
      <c r="B108" s="2"/>
      <c r="C108" s="2"/>
      <c r="D108" s="2"/>
      <c r="E108" s="2"/>
      <c r="F108" s="2"/>
      <c r="G108" s="2"/>
      <c r="H108" s="2"/>
      <c r="I108" s="2"/>
      <c r="J108" s="2"/>
      <c r="K108" s="2"/>
      <c r="L108" s="2"/>
      <c r="M108" s="101"/>
      <c r="N108" s="2"/>
      <c r="O108" s="101"/>
      <c r="P108" s="93"/>
      <c r="Q108" s="102"/>
      <c r="R108" s="101"/>
      <c r="S108" s="2"/>
      <c r="T108" s="2"/>
      <c r="U108" s="2"/>
      <c r="V108" s="2"/>
      <c r="W108" s="2"/>
      <c r="X108" s="2"/>
      <c r="Y108" s="2"/>
      <c r="Z108" s="2"/>
      <c r="AA108" s="2"/>
    </row>
    <row r="109" spans="1:27" hidden="1" x14ac:dyDescent="0.25">
      <c r="A109" s="2"/>
      <c r="B109" s="2"/>
      <c r="C109" s="2"/>
      <c r="D109" s="2"/>
      <c r="E109" s="2"/>
      <c r="F109" s="2"/>
      <c r="G109" s="2"/>
      <c r="H109" s="2"/>
      <c r="I109" s="2"/>
      <c r="J109" s="2"/>
      <c r="K109" s="2"/>
      <c r="L109" s="2"/>
      <c r="M109" s="101"/>
      <c r="N109" s="2"/>
      <c r="O109" s="101"/>
      <c r="P109" s="93"/>
      <c r="Q109" s="102"/>
      <c r="R109" s="3"/>
      <c r="S109" s="2"/>
      <c r="T109" s="2"/>
      <c r="U109" s="2"/>
      <c r="V109" s="2"/>
      <c r="W109" s="2"/>
      <c r="X109" s="2"/>
      <c r="Y109" s="2"/>
      <c r="Z109" s="2"/>
      <c r="AA109" s="2"/>
    </row>
    <row r="110" spans="1:27" hidden="1" x14ac:dyDescent="0.25">
      <c r="A110" s="2"/>
      <c r="B110" s="2"/>
      <c r="C110" s="2"/>
      <c r="D110" s="2"/>
      <c r="E110" s="2"/>
      <c r="F110" s="2"/>
      <c r="G110" s="2"/>
      <c r="H110" s="2"/>
      <c r="I110" s="2"/>
      <c r="J110" s="2"/>
      <c r="K110" s="2"/>
      <c r="L110" s="2"/>
      <c r="M110" s="101"/>
      <c r="N110" s="2"/>
      <c r="O110" s="101"/>
      <c r="P110" s="93"/>
      <c r="Q110" s="102"/>
      <c r="R110" s="3"/>
      <c r="S110" s="2"/>
      <c r="T110" s="2"/>
      <c r="U110" s="2"/>
      <c r="V110" s="2"/>
      <c r="W110" s="2"/>
      <c r="X110" s="2"/>
      <c r="Y110" s="2"/>
      <c r="Z110" s="2"/>
      <c r="AA110" s="2"/>
    </row>
    <row r="111" spans="1:27" hidden="1" x14ac:dyDescent="0.25">
      <c r="A111" s="2"/>
      <c r="B111" s="2"/>
      <c r="C111" s="2"/>
      <c r="D111" s="2"/>
      <c r="E111" s="2"/>
      <c r="F111" s="2"/>
      <c r="G111" s="2"/>
      <c r="H111" s="2"/>
      <c r="I111" s="2"/>
      <c r="J111" s="2"/>
      <c r="K111" s="2"/>
      <c r="L111" s="2"/>
      <c r="M111" s="101"/>
      <c r="N111" s="2"/>
      <c r="O111" s="101"/>
      <c r="P111" s="93"/>
      <c r="Q111" s="102"/>
      <c r="R111" s="3"/>
      <c r="S111" s="2"/>
      <c r="T111" s="2"/>
      <c r="U111" s="2"/>
      <c r="V111" s="2"/>
      <c r="W111" s="2"/>
      <c r="X111" s="2"/>
      <c r="Y111" s="2"/>
      <c r="Z111" s="2"/>
      <c r="AA111" s="2"/>
    </row>
    <row r="112" spans="1:27" hidden="1" x14ac:dyDescent="0.25">
      <c r="A112" s="2"/>
      <c r="B112" s="2"/>
      <c r="C112" s="2"/>
      <c r="D112" s="2"/>
      <c r="E112" s="2"/>
      <c r="F112" s="2"/>
      <c r="G112" s="2"/>
      <c r="H112" s="2"/>
      <c r="I112" s="2"/>
      <c r="J112" s="2"/>
      <c r="K112" s="2"/>
      <c r="L112" s="2"/>
      <c r="M112" s="101"/>
      <c r="N112" s="2"/>
      <c r="O112" s="101"/>
      <c r="P112" s="93"/>
      <c r="Q112" s="102"/>
      <c r="R112" s="3"/>
      <c r="S112" s="2"/>
      <c r="T112" s="2"/>
      <c r="U112" s="2"/>
      <c r="V112" s="2"/>
      <c r="W112" s="2"/>
      <c r="X112" s="2"/>
      <c r="Y112" s="2"/>
      <c r="Z112" s="2"/>
      <c r="AA112" s="2"/>
    </row>
    <row r="113" spans="1:27" hidden="1" x14ac:dyDescent="0.25">
      <c r="A113" s="2"/>
      <c r="B113" s="2"/>
      <c r="C113" s="2"/>
      <c r="D113" s="2"/>
      <c r="E113" s="2"/>
      <c r="F113" s="2"/>
      <c r="G113" s="2"/>
      <c r="H113" s="2"/>
      <c r="I113" s="2"/>
      <c r="J113" s="2"/>
      <c r="K113" s="2"/>
      <c r="L113" s="2"/>
      <c r="M113" s="101"/>
      <c r="N113" s="2"/>
      <c r="O113" s="101"/>
      <c r="P113" s="93"/>
      <c r="Q113" s="102"/>
      <c r="R113" s="3"/>
      <c r="S113" s="2"/>
      <c r="T113" s="2"/>
      <c r="U113" s="2"/>
      <c r="V113" s="2"/>
      <c r="W113" s="2"/>
      <c r="X113" s="2"/>
      <c r="Y113" s="2"/>
      <c r="Z113" s="2"/>
      <c r="AA113" s="2"/>
    </row>
    <row r="114" spans="1:27" hidden="1" x14ac:dyDescent="0.25">
      <c r="A114" s="2"/>
      <c r="B114" s="2"/>
      <c r="C114" s="2"/>
      <c r="D114" s="2"/>
      <c r="E114" s="2"/>
      <c r="F114" s="2"/>
      <c r="G114" s="2"/>
      <c r="H114" s="2"/>
      <c r="I114" s="2"/>
      <c r="J114" s="2"/>
      <c r="K114" s="2"/>
      <c r="L114" s="2"/>
      <c r="M114" s="101"/>
      <c r="N114" s="2"/>
      <c r="O114" s="101"/>
      <c r="P114" s="93"/>
      <c r="Q114" s="102"/>
      <c r="R114" s="3"/>
      <c r="S114" s="2"/>
      <c r="T114" s="2"/>
      <c r="U114" s="2"/>
      <c r="V114" s="2"/>
      <c r="W114" s="2"/>
      <c r="X114" s="2"/>
      <c r="Y114" s="2"/>
      <c r="Z114" s="2"/>
      <c r="AA114" s="2"/>
    </row>
    <row r="115" spans="1:27" hidden="1" x14ac:dyDescent="0.25">
      <c r="A115" s="2"/>
      <c r="B115" s="2"/>
      <c r="C115" s="2"/>
      <c r="D115" s="2"/>
      <c r="E115" s="2"/>
      <c r="F115" s="2"/>
      <c r="G115" s="2"/>
      <c r="H115" s="2"/>
      <c r="I115" s="2"/>
      <c r="J115" s="2"/>
      <c r="K115" s="2"/>
      <c r="L115" s="2"/>
      <c r="M115" s="93"/>
      <c r="N115" s="2"/>
      <c r="O115" s="101"/>
      <c r="P115" s="93"/>
      <c r="Q115" s="102"/>
      <c r="R115" s="3"/>
      <c r="S115" s="2"/>
      <c r="T115" s="2"/>
      <c r="U115" s="2"/>
      <c r="V115" s="2"/>
      <c r="W115" s="2"/>
      <c r="X115" s="2"/>
      <c r="Y115" s="2"/>
      <c r="Z115" s="2"/>
      <c r="AA115" s="2"/>
    </row>
    <row r="116" spans="1:27" hidden="1" x14ac:dyDescent="0.25">
      <c r="A116" s="2"/>
      <c r="B116" s="2"/>
      <c r="C116" s="2"/>
      <c r="D116" s="2"/>
      <c r="E116" s="2"/>
      <c r="F116" s="2"/>
      <c r="G116" s="2"/>
      <c r="H116" s="2"/>
      <c r="I116" s="2"/>
      <c r="J116" s="2"/>
      <c r="K116" s="2"/>
      <c r="L116" s="2"/>
      <c r="M116" s="93"/>
      <c r="N116" s="2"/>
      <c r="O116" s="101"/>
      <c r="P116" s="93"/>
      <c r="Q116" s="102"/>
      <c r="R116" s="3"/>
      <c r="S116" s="2"/>
      <c r="T116" s="2"/>
      <c r="U116" s="2"/>
      <c r="V116" s="2"/>
      <c r="W116" s="2"/>
      <c r="X116" s="2"/>
      <c r="Y116" s="2"/>
      <c r="Z116" s="2"/>
      <c r="AA116" s="2"/>
    </row>
    <row r="117" spans="1:27" hidden="1" x14ac:dyDescent="0.25">
      <c r="A117" s="2"/>
      <c r="B117" s="2"/>
      <c r="C117" s="2"/>
      <c r="D117" s="2"/>
      <c r="E117" s="2"/>
      <c r="F117" s="2"/>
      <c r="G117" s="2"/>
      <c r="H117" s="2"/>
      <c r="I117" s="2"/>
      <c r="J117" s="2"/>
      <c r="K117" s="2"/>
      <c r="L117" s="2"/>
      <c r="M117" s="93"/>
      <c r="N117" s="2"/>
      <c r="O117" s="101"/>
      <c r="P117" s="93"/>
      <c r="Q117" s="102"/>
      <c r="R117" s="3"/>
      <c r="S117" s="2"/>
      <c r="T117" s="2"/>
      <c r="U117" s="2"/>
      <c r="V117" s="2"/>
      <c r="W117" s="2"/>
      <c r="X117" s="2"/>
      <c r="Y117" s="2"/>
      <c r="Z117" s="2"/>
      <c r="AA117" s="2"/>
    </row>
    <row r="118" spans="1:27" hidden="1" x14ac:dyDescent="0.25">
      <c r="A118" s="2"/>
      <c r="B118" s="2"/>
      <c r="C118" s="2"/>
      <c r="D118" s="2"/>
      <c r="E118" s="2"/>
      <c r="F118" s="2"/>
      <c r="G118" s="2"/>
      <c r="H118" s="2"/>
      <c r="I118" s="2"/>
      <c r="J118" s="2"/>
      <c r="K118" s="2"/>
      <c r="L118" s="2"/>
      <c r="M118" s="93"/>
      <c r="N118" s="2"/>
      <c r="O118" s="101"/>
      <c r="P118" s="93"/>
      <c r="Q118" s="102"/>
      <c r="R118" s="3"/>
      <c r="S118" s="2"/>
      <c r="T118" s="2"/>
      <c r="U118" s="2"/>
      <c r="V118" s="2"/>
      <c r="W118" s="2"/>
      <c r="X118" s="2"/>
      <c r="Y118" s="2"/>
      <c r="Z118" s="2"/>
      <c r="AA118" s="2"/>
    </row>
    <row r="119" spans="1:27" hidden="1" x14ac:dyDescent="0.25">
      <c r="A119" s="2"/>
      <c r="B119" s="2"/>
      <c r="C119" s="2"/>
      <c r="D119" s="2"/>
      <c r="E119" s="2"/>
      <c r="F119" s="2"/>
      <c r="G119" s="2"/>
      <c r="H119" s="2"/>
      <c r="I119" s="2"/>
      <c r="J119" s="2"/>
      <c r="K119" s="2"/>
      <c r="L119" s="2"/>
      <c r="M119" s="93"/>
      <c r="N119" s="2"/>
      <c r="O119" s="101"/>
      <c r="P119" s="93"/>
      <c r="Q119" s="102"/>
      <c r="R119" s="3"/>
      <c r="S119" s="2"/>
      <c r="T119" s="2"/>
      <c r="U119" s="2"/>
      <c r="V119" s="2"/>
      <c r="W119" s="2"/>
      <c r="X119" s="2"/>
      <c r="Y119" s="2"/>
      <c r="Z119" s="2"/>
      <c r="AA119" s="2"/>
    </row>
    <row r="120" spans="1:27" hidden="1" x14ac:dyDescent="0.25">
      <c r="A120" s="2"/>
      <c r="B120" s="2"/>
      <c r="C120" s="2"/>
      <c r="D120" s="2"/>
      <c r="E120" s="2"/>
      <c r="F120" s="2"/>
      <c r="G120" s="2"/>
      <c r="H120" s="2"/>
      <c r="I120" s="2"/>
      <c r="J120" s="2"/>
      <c r="K120" s="2"/>
      <c r="L120" s="2"/>
      <c r="M120" s="93"/>
      <c r="N120" s="2"/>
      <c r="O120" s="101"/>
      <c r="P120" s="93"/>
      <c r="Q120" s="102"/>
      <c r="R120" s="3"/>
      <c r="S120" s="2"/>
      <c r="T120" s="2"/>
      <c r="U120" s="2"/>
      <c r="V120" s="2"/>
      <c r="W120" s="2"/>
      <c r="X120" s="2"/>
      <c r="Y120" s="2"/>
      <c r="Z120" s="2"/>
      <c r="AA120" s="2"/>
    </row>
    <row r="121" spans="1:27" hidden="1" x14ac:dyDescent="0.25">
      <c r="A121" s="2"/>
      <c r="B121" s="2"/>
      <c r="C121" s="2"/>
      <c r="D121" s="2"/>
      <c r="E121" s="2"/>
      <c r="F121" s="2"/>
      <c r="G121" s="2"/>
      <c r="H121" s="2"/>
      <c r="I121" s="2"/>
      <c r="J121" s="2"/>
      <c r="K121" s="2"/>
      <c r="L121" s="2"/>
      <c r="M121" s="93"/>
      <c r="N121" s="2"/>
      <c r="O121" s="101"/>
      <c r="P121" s="93"/>
      <c r="Q121" s="102"/>
      <c r="R121" s="3"/>
      <c r="S121" s="2"/>
      <c r="T121" s="2"/>
      <c r="U121" s="2"/>
      <c r="V121" s="2"/>
      <c r="W121" s="2"/>
      <c r="X121" s="2"/>
      <c r="Y121" s="2"/>
      <c r="Z121" s="2"/>
      <c r="AA121" s="2"/>
    </row>
    <row r="122" spans="1:27" hidden="1" x14ac:dyDescent="0.25">
      <c r="A122" s="2"/>
      <c r="B122" s="2"/>
      <c r="C122" s="2"/>
      <c r="D122" s="2"/>
      <c r="E122" s="2"/>
      <c r="F122" s="2"/>
      <c r="G122" s="2"/>
      <c r="H122" s="2"/>
      <c r="I122" s="2"/>
      <c r="J122" s="2"/>
      <c r="K122" s="2"/>
      <c r="L122" s="2"/>
      <c r="M122" s="93"/>
      <c r="N122" s="2"/>
      <c r="O122" s="101"/>
      <c r="P122" s="93"/>
      <c r="Q122" s="102"/>
      <c r="R122" s="3"/>
      <c r="S122" s="2"/>
      <c r="T122" s="2"/>
      <c r="U122" s="2"/>
      <c r="V122" s="2"/>
      <c r="W122" s="2"/>
      <c r="X122" s="2"/>
      <c r="Y122" s="2"/>
      <c r="Z122" s="2"/>
      <c r="AA122" s="2"/>
    </row>
    <row r="123" spans="1:27" hidden="1" x14ac:dyDescent="0.25">
      <c r="A123" s="2"/>
      <c r="B123" s="2"/>
      <c r="C123" s="2"/>
      <c r="D123" s="2"/>
      <c r="E123" s="2"/>
      <c r="F123" s="2"/>
      <c r="G123" s="2"/>
      <c r="H123" s="2"/>
      <c r="I123" s="2"/>
      <c r="J123" s="2"/>
      <c r="K123" s="2"/>
      <c r="L123" s="2"/>
      <c r="M123" s="93"/>
      <c r="N123" s="2"/>
      <c r="O123" s="101"/>
      <c r="P123" s="93"/>
      <c r="Q123" s="102"/>
      <c r="R123" s="3"/>
      <c r="S123" s="2"/>
      <c r="T123" s="2"/>
      <c r="U123" s="2"/>
      <c r="V123" s="2"/>
      <c r="W123" s="2"/>
      <c r="X123" s="2"/>
      <c r="Y123" s="2"/>
      <c r="Z123" s="2"/>
      <c r="AA123" s="2"/>
    </row>
    <row r="124" spans="1:27" hidden="1" x14ac:dyDescent="0.25">
      <c r="A124" s="2"/>
      <c r="B124" s="2"/>
      <c r="C124" s="2"/>
      <c r="D124" s="2"/>
      <c r="E124" s="2"/>
      <c r="F124" s="2"/>
      <c r="G124" s="2"/>
      <c r="H124" s="2"/>
      <c r="I124" s="2"/>
      <c r="J124" s="2"/>
      <c r="K124" s="2"/>
      <c r="L124" s="2"/>
      <c r="M124" s="93"/>
      <c r="N124" s="2"/>
      <c r="O124" s="101"/>
      <c r="P124" s="93"/>
      <c r="Q124" s="102"/>
      <c r="R124" s="3"/>
      <c r="S124" s="2"/>
      <c r="T124" s="2"/>
      <c r="U124" s="2"/>
      <c r="V124" s="2"/>
      <c r="W124" s="2"/>
      <c r="X124" s="2"/>
      <c r="Y124" s="2"/>
      <c r="Z124" s="2"/>
      <c r="AA124" s="2"/>
    </row>
    <row r="125" spans="1:27" hidden="1" x14ac:dyDescent="0.25">
      <c r="A125" s="2"/>
      <c r="B125" s="2"/>
      <c r="C125" s="2"/>
      <c r="D125" s="2"/>
      <c r="E125" s="2"/>
      <c r="F125" s="2"/>
      <c r="G125" s="2"/>
      <c r="H125" s="2"/>
      <c r="I125" s="2"/>
      <c r="J125" s="2"/>
      <c r="K125" s="2"/>
      <c r="L125" s="2"/>
      <c r="M125" s="93"/>
      <c r="N125" s="2"/>
      <c r="O125" s="101"/>
      <c r="P125" s="93"/>
      <c r="Q125" s="102"/>
      <c r="R125" s="3"/>
      <c r="S125" s="2"/>
      <c r="T125" s="2"/>
      <c r="U125" s="2"/>
      <c r="V125" s="2"/>
      <c r="W125" s="2"/>
      <c r="X125" s="2"/>
      <c r="Y125" s="2"/>
      <c r="Z125" s="2"/>
      <c r="AA125" s="2"/>
    </row>
    <row r="126" spans="1:27" hidden="1" x14ac:dyDescent="0.25">
      <c r="A126" s="2"/>
      <c r="B126" s="2"/>
      <c r="C126" s="2"/>
      <c r="D126" s="2"/>
      <c r="E126" s="2"/>
      <c r="F126" s="2"/>
      <c r="G126" s="2"/>
      <c r="H126" s="2"/>
      <c r="I126" s="2"/>
      <c r="J126" s="2"/>
      <c r="K126" s="2"/>
      <c r="L126" s="2"/>
      <c r="M126" s="93"/>
      <c r="N126" s="2"/>
      <c r="O126" s="101"/>
      <c r="P126" s="93"/>
      <c r="Q126" s="102"/>
      <c r="R126" s="3"/>
      <c r="S126" s="2"/>
      <c r="T126" s="2"/>
      <c r="U126" s="2"/>
      <c r="V126" s="2"/>
      <c r="W126" s="2"/>
      <c r="X126" s="2"/>
      <c r="Y126" s="2"/>
      <c r="Z126" s="2"/>
      <c r="AA126" s="2"/>
    </row>
    <row r="127" spans="1:27" hidden="1" x14ac:dyDescent="0.25">
      <c r="A127" s="2"/>
      <c r="B127" s="2"/>
      <c r="C127" s="2"/>
      <c r="D127" s="2"/>
      <c r="E127" s="2"/>
      <c r="F127" s="2"/>
      <c r="G127" s="2"/>
      <c r="H127" s="2"/>
      <c r="I127" s="2"/>
      <c r="J127" s="2"/>
      <c r="K127" s="2"/>
      <c r="L127" s="2"/>
      <c r="M127" s="93"/>
      <c r="N127" s="2"/>
      <c r="O127" s="101"/>
      <c r="P127" s="93"/>
      <c r="Q127" s="102"/>
      <c r="R127" s="3"/>
      <c r="S127" s="2"/>
      <c r="T127" s="2"/>
      <c r="U127" s="2"/>
      <c r="V127" s="2"/>
      <c r="W127" s="2"/>
      <c r="X127" s="2"/>
      <c r="Y127" s="2"/>
      <c r="Z127" s="2"/>
      <c r="AA127" s="2"/>
    </row>
    <row r="128" spans="1:27" hidden="1" x14ac:dyDescent="0.25">
      <c r="A128" s="2"/>
      <c r="B128" s="2"/>
      <c r="C128" s="2"/>
      <c r="D128" s="2"/>
      <c r="E128" s="2"/>
      <c r="F128" s="2"/>
      <c r="G128" s="2"/>
      <c r="H128" s="2"/>
      <c r="I128" s="2"/>
      <c r="J128" s="2"/>
      <c r="K128" s="2"/>
      <c r="L128" s="2"/>
      <c r="M128" s="93"/>
      <c r="N128" s="2"/>
      <c r="O128" s="101"/>
      <c r="P128" s="93"/>
      <c r="Q128" s="102"/>
      <c r="R128" s="3"/>
      <c r="S128" s="2"/>
      <c r="T128" s="2"/>
      <c r="U128" s="2"/>
      <c r="V128" s="2"/>
      <c r="W128" s="2"/>
      <c r="X128" s="2"/>
      <c r="Y128" s="2"/>
      <c r="Z128" s="2"/>
      <c r="AA128" s="2"/>
    </row>
    <row r="129" spans="1:27" hidden="1" x14ac:dyDescent="0.25">
      <c r="A129" s="2"/>
      <c r="B129" s="2"/>
      <c r="C129" s="2"/>
      <c r="D129" s="2"/>
      <c r="E129" s="2"/>
      <c r="F129" s="2"/>
      <c r="G129" s="2"/>
      <c r="H129" s="2"/>
      <c r="I129" s="2"/>
      <c r="J129" s="2"/>
      <c r="K129" s="2"/>
      <c r="L129" s="2"/>
      <c r="M129" s="93"/>
      <c r="N129" s="2"/>
      <c r="O129" s="101"/>
      <c r="P129" s="93"/>
      <c r="Q129" s="102"/>
      <c r="R129" s="3"/>
      <c r="S129" s="2"/>
      <c r="T129" s="2"/>
      <c r="U129" s="2"/>
      <c r="V129" s="2"/>
      <c r="W129" s="2"/>
      <c r="X129" s="2"/>
      <c r="Y129" s="2"/>
      <c r="Z129" s="2"/>
      <c r="AA129" s="2"/>
    </row>
    <row r="130" spans="1:27" hidden="1" x14ac:dyDescent="0.25">
      <c r="A130" s="2"/>
      <c r="B130" s="2"/>
      <c r="C130" s="2"/>
      <c r="D130" s="2"/>
      <c r="E130" s="2"/>
      <c r="F130" s="2"/>
      <c r="G130" s="2"/>
      <c r="H130" s="2"/>
      <c r="I130" s="2"/>
      <c r="J130" s="2"/>
      <c r="K130" s="2"/>
      <c r="L130" s="2"/>
      <c r="M130" s="93"/>
      <c r="N130" s="2"/>
      <c r="O130" s="101"/>
      <c r="P130" s="93"/>
      <c r="Q130" s="102"/>
      <c r="R130" s="3"/>
      <c r="S130" s="2"/>
      <c r="T130" s="2"/>
      <c r="U130" s="2"/>
      <c r="V130" s="2"/>
      <c r="W130" s="2"/>
      <c r="X130" s="2"/>
      <c r="Y130" s="2"/>
      <c r="Z130" s="2"/>
      <c r="AA130" s="2"/>
    </row>
    <row r="131" spans="1:27" hidden="1" x14ac:dyDescent="0.25">
      <c r="A131" s="2"/>
      <c r="B131" s="2"/>
      <c r="C131" s="2"/>
      <c r="D131" s="2"/>
      <c r="E131" s="2"/>
      <c r="F131" s="2"/>
      <c r="G131" s="2"/>
      <c r="H131" s="2"/>
      <c r="I131" s="2"/>
      <c r="J131" s="2"/>
      <c r="K131" s="2"/>
      <c r="L131" s="2"/>
      <c r="M131" s="93"/>
      <c r="N131" s="2"/>
      <c r="O131" s="101"/>
      <c r="P131" s="93"/>
      <c r="Q131" s="102"/>
      <c r="R131" s="3"/>
      <c r="S131" s="2"/>
      <c r="T131" s="2"/>
      <c r="U131" s="2"/>
      <c r="V131" s="2"/>
      <c r="W131" s="2"/>
      <c r="X131" s="2"/>
      <c r="Y131" s="2"/>
      <c r="Z131" s="2"/>
      <c r="AA131" s="2"/>
    </row>
    <row r="132" spans="1:27" hidden="1" x14ac:dyDescent="0.25">
      <c r="A132" s="2"/>
      <c r="B132" s="2"/>
      <c r="C132" s="2"/>
      <c r="D132" s="2"/>
      <c r="E132" s="2"/>
      <c r="F132" s="2"/>
      <c r="G132" s="2"/>
      <c r="H132" s="2"/>
      <c r="I132" s="2"/>
      <c r="J132" s="2"/>
      <c r="K132" s="2"/>
      <c r="L132" s="2"/>
      <c r="M132" s="93"/>
      <c r="N132" s="2"/>
      <c r="O132" s="101"/>
      <c r="P132" s="93"/>
      <c r="Q132" s="102"/>
      <c r="R132" s="3"/>
      <c r="S132" s="2"/>
      <c r="T132" s="2"/>
      <c r="U132" s="2"/>
      <c r="V132" s="2"/>
      <c r="W132" s="2"/>
      <c r="X132" s="2"/>
      <c r="Y132" s="2"/>
      <c r="Z132" s="2"/>
      <c r="AA132" s="2"/>
    </row>
    <row r="133" spans="1:27" hidden="1" x14ac:dyDescent="0.25">
      <c r="A133" s="2"/>
      <c r="B133" s="2"/>
      <c r="C133" s="2"/>
      <c r="D133" s="2"/>
      <c r="E133" s="2"/>
      <c r="F133" s="2"/>
      <c r="G133" s="2"/>
      <c r="H133" s="2"/>
      <c r="I133" s="2"/>
      <c r="J133" s="2"/>
      <c r="K133" s="2"/>
      <c r="L133" s="2"/>
      <c r="M133" s="93"/>
      <c r="N133" s="2"/>
      <c r="O133" s="101"/>
      <c r="P133" s="93"/>
      <c r="Q133" s="102"/>
      <c r="R133" s="3"/>
      <c r="S133" s="2"/>
      <c r="T133" s="2"/>
      <c r="U133" s="2"/>
      <c r="V133" s="2"/>
      <c r="W133" s="2"/>
      <c r="X133" s="2"/>
      <c r="Y133" s="2"/>
      <c r="Z133" s="2"/>
      <c r="AA133" s="2"/>
    </row>
    <row r="134" spans="1:27" hidden="1" x14ac:dyDescent="0.25">
      <c r="A134" s="2"/>
      <c r="B134" s="2"/>
      <c r="C134" s="2"/>
      <c r="D134" s="2"/>
      <c r="E134" s="2"/>
      <c r="F134" s="2"/>
      <c r="G134" s="2"/>
      <c r="H134" s="2"/>
      <c r="I134" s="2"/>
      <c r="J134" s="2"/>
      <c r="K134" s="2"/>
      <c r="L134" s="2"/>
      <c r="M134" s="93"/>
      <c r="N134" s="2"/>
      <c r="O134" s="101"/>
      <c r="P134" s="93"/>
      <c r="Q134" s="102"/>
      <c r="R134" s="3"/>
      <c r="S134" s="2"/>
      <c r="T134" s="2"/>
      <c r="U134" s="2"/>
      <c r="V134" s="2"/>
      <c r="W134" s="2"/>
      <c r="X134" s="2"/>
      <c r="Y134" s="2"/>
      <c r="Z134" s="2"/>
      <c r="AA134" s="2"/>
    </row>
    <row r="135" spans="1:27" hidden="1" x14ac:dyDescent="0.25">
      <c r="A135" s="2"/>
      <c r="B135" s="2"/>
      <c r="C135" s="2"/>
      <c r="D135" s="2"/>
      <c r="E135" s="2"/>
      <c r="F135" s="2"/>
      <c r="G135" s="2"/>
      <c r="H135" s="2"/>
      <c r="I135" s="2"/>
      <c r="J135" s="2"/>
      <c r="K135" s="2"/>
      <c r="L135" s="2"/>
      <c r="M135" s="93"/>
      <c r="N135" s="2"/>
      <c r="O135" s="101"/>
      <c r="P135" s="93"/>
      <c r="Q135" s="102"/>
      <c r="R135" s="3"/>
      <c r="S135" s="2"/>
      <c r="T135" s="2"/>
      <c r="U135" s="2"/>
      <c r="V135" s="2"/>
      <c r="W135" s="2"/>
      <c r="X135" s="2"/>
      <c r="Y135" s="2"/>
      <c r="Z135" s="2"/>
      <c r="AA135" s="2"/>
    </row>
    <row r="136" spans="1:27" hidden="1" x14ac:dyDescent="0.25">
      <c r="A136" s="2"/>
      <c r="B136" s="2"/>
      <c r="C136" s="2"/>
      <c r="D136" s="2"/>
      <c r="E136" s="2"/>
      <c r="F136" s="2"/>
      <c r="G136" s="2"/>
      <c r="H136" s="2"/>
      <c r="I136" s="2"/>
      <c r="J136" s="2"/>
      <c r="K136" s="2"/>
      <c r="L136" s="2"/>
      <c r="M136" s="93"/>
      <c r="N136" s="2"/>
      <c r="O136" s="101"/>
      <c r="P136" s="93"/>
      <c r="Q136" s="102"/>
      <c r="R136" s="3"/>
      <c r="S136" s="2"/>
      <c r="T136" s="2"/>
      <c r="U136" s="2"/>
      <c r="V136" s="2"/>
      <c r="W136" s="2"/>
      <c r="X136" s="2"/>
      <c r="Y136" s="2"/>
      <c r="Z136" s="2"/>
      <c r="AA136" s="2"/>
    </row>
    <row r="137" spans="1:27" hidden="1" x14ac:dyDescent="0.25">
      <c r="A137" s="2"/>
      <c r="B137" s="2"/>
      <c r="C137" s="2"/>
      <c r="D137" s="2"/>
      <c r="E137" s="2"/>
      <c r="F137" s="2"/>
      <c r="G137" s="2"/>
      <c r="H137" s="2"/>
      <c r="I137" s="2"/>
      <c r="J137" s="2"/>
      <c r="K137" s="2"/>
      <c r="L137" s="2"/>
      <c r="M137" s="93"/>
      <c r="N137" s="2"/>
      <c r="O137" s="101"/>
      <c r="P137" s="93"/>
      <c r="Q137" s="102"/>
      <c r="R137" s="3"/>
      <c r="S137" s="2"/>
      <c r="T137" s="2"/>
      <c r="U137" s="2"/>
      <c r="V137" s="2"/>
      <c r="W137" s="2"/>
      <c r="X137" s="2"/>
      <c r="Y137" s="2"/>
      <c r="Z137" s="2"/>
      <c r="AA137" s="2"/>
    </row>
    <row r="138" spans="1:27" hidden="1" x14ac:dyDescent="0.25">
      <c r="A138" s="2"/>
      <c r="B138" s="2"/>
      <c r="C138" s="2"/>
      <c r="D138" s="2"/>
      <c r="E138" s="2"/>
      <c r="F138" s="2"/>
      <c r="G138" s="2"/>
      <c r="H138" s="2"/>
      <c r="I138" s="2"/>
      <c r="J138" s="2"/>
      <c r="K138" s="2"/>
      <c r="L138" s="2"/>
      <c r="M138" s="93"/>
      <c r="N138" s="2"/>
      <c r="O138" s="101"/>
      <c r="P138" s="93"/>
      <c r="Q138" s="102"/>
      <c r="R138" s="3"/>
      <c r="S138" s="2"/>
      <c r="T138" s="2"/>
      <c r="U138" s="2"/>
      <c r="V138" s="2"/>
      <c r="W138" s="2"/>
      <c r="X138" s="2"/>
      <c r="Y138" s="2"/>
      <c r="Z138" s="2"/>
      <c r="AA138" s="2"/>
    </row>
    <row r="139" spans="1:27" hidden="1" x14ac:dyDescent="0.25">
      <c r="A139" s="2"/>
      <c r="B139" s="2"/>
      <c r="C139" s="2"/>
      <c r="D139" s="2"/>
      <c r="E139" s="2"/>
      <c r="F139" s="2"/>
      <c r="G139" s="2"/>
      <c r="H139" s="2"/>
      <c r="I139" s="2"/>
      <c r="J139" s="2"/>
      <c r="K139" s="2"/>
      <c r="L139" s="2"/>
      <c r="M139" s="93"/>
      <c r="N139" s="2"/>
      <c r="O139" s="101"/>
      <c r="P139" s="93"/>
      <c r="Q139" s="102"/>
      <c r="R139" s="3"/>
      <c r="S139" s="2"/>
      <c r="T139" s="2"/>
      <c r="U139" s="2"/>
      <c r="V139" s="2"/>
      <c r="W139" s="2"/>
      <c r="X139" s="2"/>
      <c r="Y139" s="2"/>
      <c r="Z139" s="2"/>
      <c r="AA139" s="2"/>
    </row>
    <row r="140" spans="1:27" hidden="1" x14ac:dyDescent="0.25">
      <c r="A140" s="2"/>
      <c r="B140" s="2"/>
      <c r="C140" s="2"/>
      <c r="D140" s="2"/>
      <c r="E140" s="2"/>
      <c r="F140" s="2"/>
      <c r="G140" s="2"/>
      <c r="H140" s="2"/>
      <c r="I140" s="2"/>
      <c r="J140" s="2"/>
      <c r="K140" s="2"/>
      <c r="L140" s="2"/>
      <c r="M140" s="93"/>
      <c r="N140" s="2"/>
      <c r="O140" s="101"/>
      <c r="P140" s="93"/>
      <c r="Q140" s="102"/>
      <c r="R140" s="3"/>
      <c r="S140" s="2"/>
      <c r="T140" s="2"/>
      <c r="U140" s="2"/>
      <c r="V140" s="2"/>
      <c r="W140" s="2"/>
      <c r="X140" s="2"/>
      <c r="Y140" s="2"/>
      <c r="Z140" s="2"/>
      <c r="AA140" s="2"/>
    </row>
    <row r="141" spans="1:27" hidden="1" x14ac:dyDescent="0.25">
      <c r="A141" s="2"/>
      <c r="B141" s="2"/>
      <c r="C141" s="2"/>
      <c r="D141" s="2"/>
      <c r="E141" s="2"/>
      <c r="F141" s="2"/>
      <c r="G141" s="2"/>
      <c r="H141" s="2"/>
      <c r="I141" s="2"/>
      <c r="J141" s="2"/>
      <c r="K141" s="2"/>
      <c r="L141" s="2"/>
      <c r="M141" s="93"/>
      <c r="N141" s="2"/>
      <c r="O141" s="101"/>
      <c r="P141" s="93"/>
      <c r="Q141" s="102"/>
      <c r="R141" s="3"/>
      <c r="S141" s="2"/>
      <c r="T141" s="2"/>
      <c r="U141" s="2"/>
      <c r="V141" s="2"/>
      <c r="W141" s="2"/>
      <c r="X141" s="2"/>
      <c r="Y141" s="2"/>
      <c r="Z141" s="2"/>
      <c r="AA141" s="2"/>
    </row>
    <row r="142" spans="1:27" hidden="1" x14ac:dyDescent="0.25">
      <c r="A142" s="2"/>
      <c r="B142" s="2"/>
      <c r="C142" s="2"/>
      <c r="D142" s="2"/>
      <c r="E142" s="2"/>
      <c r="F142" s="2"/>
      <c r="G142" s="2"/>
      <c r="H142" s="2"/>
      <c r="I142" s="2"/>
      <c r="J142" s="2"/>
      <c r="K142" s="2"/>
      <c r="L142" s="2"/>
      <c r="M142" s="93"/>
      <c r="N142" s="2"/>
      <c r="O142" s="101"/>
      <c r="P142" s="93"/>
      <c r="Q142" s="102"/>
      <c r="R142" s="3"/>
      <c r="S142" s="2"/>
      <c r="T142" s="2"/>
      <c r="U142" s="2"/>
      <c r="V142" s="2"/>
      <c r="W142" s="2"/>
      <c r="X142" s="2"/>
      <c r="Y142" s="2"/>
      <c r="Z142" s="2"/>
      <c r="AA142" s="2"/>
    </row>
    <row r="143" spans="1:27" hidden="1" x14ac:dyDescent="0.25">
      <c r="A143" s="2"/>
      <c r="B143" s="2"/>
      <c r="C143" s="2"/>
      <c r="D143" s="2"/>
      <c r="E143" s="2"/>
      <c r="F143" s="2"/>
      <c r="G143" s="2"/>
      <c r="H143" s="2"/>
      <c r="I143" s="2"/>
      <c r="J143" s="2"/>
      <c r="K143" s="2"/>
      <c r="L143" s="2"/>
      <c r="M143" s="93"/>
      <c r="N143" s="2"/>
      <c r="O143" s="101"/>
      <c r="P143" s="93"/>
      <c r="Q143" s="102"/>
      <c r="R143" s="3"/>
      <c r="S143" s="2"/>
      <c r="T143" s="2"/>
      <c r="U143" s="2"/>
      <c r="V143" s="2"/>
      <c r="W143" s="2"/>
      <c r="X143" s="2"/>
      <c r="Y143" s="2"/>
      <c r="Z143" s="2"/>
      <c r="AA143" s="2"/>
    </row>
    <row r="144" spans="1:27" hidden="1" x14ac:dyDescent="0.25">
      <c r="A144" s="2"/>
      <c r="B144" s="2"/>
      <c r="C144" s="2"/>
      <c r="D144" s="2"/>
      <c r="E144" s="2"/>
      <c r="F144" s="2"/>
      <c r="G144" s="2"/>
      <c r="H144" s="2"/>
      <c r="I144" s="2"/>
      <c r="J144" s="2"/>
      <c r="K144" s="2"/>
      <c r="L144" s="2"/>
      <c r="M144" s="93"/>
      <c r="N144" s="2"/>
      <c r="O144" s="101"/>
      <c r="P144" s="93"/>
      <c r="Q144" s="102"/>
      <c r="R144" s="3"/>
      <c r="S144" s="2"/>
      <c r="T144" s="2"/>
      <c r="U144" s="2"/>
      <c r="V144" s="2"/>
      <c r="W144" s="2"/>
      <c r="X144" s="2"/>
      <c r="Y144" s="2"/>
      <c r="Z144" s="2"/>
      <c r="AA144" s="2"/>
    </row>
    <row r="145" spans="1:27" hidden="1" x14ac:dyDescent="0.25">
      <c r="A145" s="2"/>
      <c r="B145" s="2"/>
      <c r="C145" s="2"/>
      <c r="D145" s="2"/>
      <c r="E145" s="2"/>
      <c r="F145" s="2"/>
      <c r="G145" s="2"/>
      <c r="H145" s="2"/>
      <c r="I145" s="2"/>
      <c r="J145" s="2"/>
      <c r="K145" s="2"/>
      <c r="L145" s="2"/>
      <c r="M145" s="93"/>
      <c r="N145" s="2"/>
      <c r="O145" s="101"/>
      <c r="P145" s="93"/>
      <c r="Q145" s="102"/>
      <c r="R145" s="3"/>
      <c r="S145" s="2"/>
      <c r="T145" s="2"/>
      <c r="U145" s="2"/>
      <c r="V145" s="2"/>
      <c r="W145" s="2"/>
      <c r="X145" s="2"/>
      <c r="Y145" s="2"/>
      <c r="Z145" s="2"/>
      <c r="AA145" s="2"/>
    </row>
    <row r="146" spans="1:27" hidden="1" x14ac:dyDescent="0.25">
      <c r="A146" s="2"/>
      <c r="B146" s="2"/>
      <c r="C146" s="2"/>
      <c r="D146" s="2"/>
      <c r="E146" s="2"/>
      <c r="F146" s="2"/>
      <c r="G146" s="2"/>
      <c r="H146" s="2"/>
      <c r="I146" s="2"/>
      <c r="J146" s="2"/>
      <c r="K146" s="2"/>
      <c r="L146" s="2"/>
      <c r="M146" s="93"/>
      <c r="N146" s="2"/>
      <c r="O146" s="101"/>
      <c r="P146" s="93"/>
      <c r="Q146" s="102"/>
      <c r="R146" s="3"/>
      <c r="S146" s="2"/>
      <c r="T146" s="2"/>
      <c r="U146" s="2"/>
      <c r="V146" s="2"/>
      <c r="W146" s="2"/>
      <c r="X146" s="2"/>
      <c r="Y146" s="2"/>
      <c r="Z146" s="2"/>
      <c r="AA146" s="2"/>
    </row>
    <row r="147" spans="1:27" hidden="1" x14ac:dyDescent="0.25">
      <c r="A147" s="2"/>
      <c r="B147" s="2"/>
      <c r="C147" s="2"/>
      <c r="D147" s="2"/>
      <c r="E147" s="2"/>
      <c r="F147" s="2"/>
      <c r="G147" s="2"/>
      <c r="H147" s="2"/>
      <c r="I147" s="2"/>
      <c r="J147" s="2"/>
      <c r="K147" s="2"/>
      <c r="L147" s="2"/>
      <c r="M147" s="93"/>
      <c r="N147" s="2"/>
      <c r="O147" s="101"/>
      <c r="P147" s="93"/>
      <c r="Q147" s="102"/>
      <c r="R147" s="3"/>
      <c r="S147" s="2"/>
      <c r="T147" s="2"/>
      <c r="U147" s="2"/>
      <c r="V147" s="2"/>
      <c r="W147" s="2"/>
      <c r="X147" s="2"/>
      <c r="Y147" s="2"/>
      <c r="Z147" s="2"/>
      <c r="AA147" s="2"/>
    </row>
    <row r="148" spans="1:27" hidden="1" x14ac:dyDescent="0.25">
      <c r="A148" s="2"/>
      <c r="B148" s="2"/>
      <c r="C148" s="2"/>
      <c r="D148" s="2"/>
      <c r="E148" s="2"/>
      <c r="F148" s="2"/>
      <c r="G148" s="2"/>
      <c r="H148" s="2"/>
      <c r="I148" s="2"/>
      <c r="J148" s="2"/>
      <c r="K148" s="2"/>
      <c r="L148" s="2"/>
      <c r="M148" s="93"/>
      <c r="N148" s="2"/>
      <c r="O148" s="101"/>
      <c r="P148" s="93"/>
      <c r="Q148" s="102"/>
      <c r="R148" s="3"/>
      <c r="S148" s="2"/>
      <c r="T148" s="2"/>
      <c r="U148" s="2"/>
      <c r="V148" s="2"/>
      <c r="W148" s="2"/>
      <c r="X148" s="2"/>
      <c r="Y148" s="2"/>
      <c r="Z148" s="2"/>
      <c r="AA148" s="2"/>
    </row>
    <row r="149" spans="1:27" hidden="1" x14ac:dyDescent="0.25">
      <c r="A149" s="2"/>
      <c r="B149" s="2"/>
      <c r="C149" s="2"/>
      <c r="D149" s="2"/>
      <c r="E149" s="2"/>
      <c r="F149" s="2"/>
      <c r="G149" s="2"/>
      <c r="H149" s="2"/>
      <c r="I149" s="2"/>
      <c r="J149" s="2"/>
      <c r="K149" s="2"/>
      <c r="L149" s="2"/>
      <c r="M149" s="93"/>
      <c r="N149" s="2"/>
      <c r="O149" s="101"/>
      <c r="P149" s="93"/>
      <c r="Q149" s="102"/>
      <c r="R149" s="3"/>
      <c r="S149" s="2"/>
      <c r="T149" s="2"/>
      <c r="U149" s="2"/>
      <c r="V149" s="2"/>
      <c r="W149" s="2"/>
      <c r="X149" s="2"/>
      <c r="Y149" s="2"/>
      <c r="Z149" s="2"/>
      <c r="AA149" s="2"/>
    </row>
    <row r="150" spans="1:27" hidden="1" x14ac:dyDescent="0.25">
      <c r="A150" s="2"/>
      <c r="B150" s="2"/>
      <c r="C150" s="2"/>
      <c r="D150" s="2"/>
      <c r="E150" s="2"/>
      <c r="F150" s="2"/>
      <c r="G150" s="2"/>
      <c r="H150" s="2"/>
      <c r="I150" s="2"/>
      <c r="J150" s="2"/>
      <c r="K150" s="2"/>
      <c r="L150" s="2"/>
      <c r="M150" s="93"/>
      <c r="N150" s="2"/>
      <c r="O150" s="101"/>
      <c r="P150" s="93"/>
      <c r="Q150" s="102"/>
      <c r="R150" s="3"/>
      <c r="S150" s="2"/>
      <c r="T150" s="2"/>
      <c r="U150" s="2"/>
      <c r="V150" s="2"/>
      <c r="W150" s="2"/>
      <c r="X150" s="2"/>
      <c r="Y150" s="2"/>
      <c r="Z150" s="2"/>
      <c r="AA150" s="2"/>
    </row>
    <row r="151" spans="1:27" hidden="1" x14ac:dyDescent="0.25">
      <c r="A151" s="2"/>
      <c r="B151" s="2"/>
      <c r="C151" s="2"/>
      <c r="D151" s="2"/>
      <c r="E151" s="2"/>
      <c r="F151" s="2"/>
      <c r="G151" s="2"/>
      <c r="H151" s="2"/>
      <c r="I151" s="2"/>
      <c r="J151" s="2"/>
      <c r="K151" s="2"/>
      <c r="L151" s="2"/>
      <c r="M151" s="93"/>
      <c r="N151" s="2"/>
      <c r="O151" s="101"/>
      <c r="P151" s="93"/>
      <c r="Q151" s="102"/>
      <c r="R151" s="3"/>
      <c r="S151" s="2"/>
      <c r="T151" s="2"/>
      <c r="U151" s="2"/>
      <c r="V151" s="2"/>
      <c r="W151" s="2"/>
      <c r="X151" s="2"/>
      <c r="Y151" s="2"/>
      <c r="Z151" s="2"/>
      <c r="AA151" s="2"/>
    </row>
    <row r="152" spans="1:27" hidden="1" x14ac:dyDescent="0.25">
      <c r="A152" s="2"/>
      <c r="B152" s="2"/>
      <c r="C152" s="2"/>
      <c r="D152" s="2"/>
      <c r="E152" s="2"/>
      <c r="F152" s="2"/>
      <c r="G152" s="2"/>
      <c r="H152" s="2"/>
      <c r="I152" s="2"/>
      <c r="J152" s="2"/>
      <c r="K152" s="2"/>
      <c r="L152" s="2"/>
      <c r="M152" s="93"/>
      <c r="N152" s="2"/>
      <c r="O152" s="101"/>
      <c r="P152" s="93"/>
      <c r="Q152" s="102"/>
      <c r="R152" s="3"/>
      <c r="S152" s="2"/>
      <c r="T152" s="2"/>
      <c r="U152" s="2"/>
      <c r="V152" s="2"/>
      <c r="W152" s="2"/>
      <c r="X152" s="2"/>
      <c r="Y152" s="2"/>
      <c r="Z152" s="2"/>
      <c r="AA152" s="2"/>
    </row>
    <row r="153" spans="1:27" hidden="1" x14ac:dyDescent="0.25">
      <c r="A153" s="2"/>
      <c r="B153" s="2"/>
      <c r="C153" s="2"/>
      <c r="D153" s="2"/>
      <c r="E153" s="2"/>
      <c r="F153" s="2"/>
      <c r="G153" s="2"/>
      <c r="H153" s="2"/>
      <c r="I153" s="2"/>
      <c r="J153" s="2"/>
      <c r="K153" s="2"/>
      <c r="L153" s="2"/>
      <c r="M153" s="93"/>
      <c r="N153" s="2"/>
      <c r="O153" s="101"/>
      <c r="P153" s="93"/>
      <c r="Q153" s="102"/>
      <c r="R153" s="3"/>
      <c r="S153" s="2"/>
      <c r="T153" s="2"/>
      <c r="U153" s="2"/>
      <c r="V153" s="2"/>
      <c r="W153" s="2"/>
      <c r="X153" s="2"/>
      <c r="Y153" s="2"/>
      <c r="Z153" s="2"/>
      <c r="AA153" s="2"/>
    </row>
    <row r="154" spans="1:27" hidden="1" x14ac:dyDescent="0.25">
      <c r="A154" s="2"/>
      <c r="B154" s="2"/>
      <c r="C154" s="2"/>
      <c r="D154" s="2"/>
      <c r="E154" s="2"/>
      <c r="F154" s="2"/>
      <c r="G154" s="2"/>
      <c r="H154" s="2"/>
      <c r="I154" s="2"/>
      <c r="J154" s="2"/>
      <c r="K154" s="2"/>
      <c r="L154" s="2"/>
      <c r="M154" s="93"/>
      <c r="N154" s="2"/>
      <c r="O154" s="101"/>
      <c r="P154" s="93"/>
      <c r="Q154" s="102"/>
      <c r="R154" s="3"/>
      <c r="S154" s="2"/>
      <c r="T154" s="2"/>
      <c r="U154" s="2"/>
      <c r="V154" s="2"/>
      <c r="W154" s="2"/>
      <c r="X154" s="2"/>
      <c r="Y154" s="2"/>
      <c r="Z154" s="2"/>
      <c r="AA154" s="2"/>
    </row>
    <row r="155" spans="1:27" hidden="1" x14ac:dyDescent="0.25">
      <c r="A155" s="2"/>
      <c r="B155" s="2"/>
      <c r="C155" s="2"/>
      <c r="D155" s="2"/>
      <c r="E155" s="2"/>
      <c r="F155" s="2"/>
      <c r="G155" s="2"/>
      <c r="H155" s="2"/>
      <c r="I155" s="2"/>
      <c r="J155" s="2"/>
      <c r="K155" s="2"/>
      <c r="L155" s="2"/>
      <c r="M155" s="93"/>
      <c r="N155" s="2"/>
      <c r="O155" s="101"/>
      <c r="P155" s="93"/>
      <c r="Q155" s="102"/>
      <c r="R155" s="3"/>
      <c r="S155" s="2"/>
      <c r="T155" s="2"/>
      <c r="U155" s="2"/>
      <c r="V155" s="2"/>
      <c r="W155" s="2"/>
      <c r="X155" s="2"/>
      <c r="Y155" s="2"/>
      <c r="Z155" s="2"/>
      <c r="AA155" s="2"/>
    </row>
    <row r="156" spans="1:27" hidden="1" x14ac:dyDescent="0.25">
      <c r="A156" s="2"/>
      <c r="B156" s="2"/>
      <c r="C156" s="2"/>
      <c r="D156" s="2"/>
      <c r="E156" s="2"/>
      <c r="F156" s="2"/>
      <c r="G156" s="2"/>
      <c r="H156" s="2"/>
      <c r="I156" s="2"/>
      <c r="J156" s="2"/>
      <c r="K156" s="2"/>
      <c r="L156" s="2"/>
      <c r="M156" s="93"/>
      <c r="N156" s="2"/>
      <c r="O156" s="101"/>
      <c r="P156" s="93"/>
      <c r="Q156" s="102"/>
      <c r="R156" s="3"/>
      <c r="S156" s="2"/>
      <c r="T156" s="2"/>
      <c r="U156" s="2"/>
      <c r="V156" s="2"/>
      <c r="W156" s="2"/>
      <c r="X156" s="2"/>
      <c r="Y156" s="2"/>
      <c r="Z156" s="2"/>
      <c r="AA156" s="2"/>
    </row>
    <row r="157" spans="1:27" hidden="1" x14ac:dyDescent="0.25">
      <c r="A157" s="2"/>
      <c r="B157" s="2"/>
      <c r="C157" s="2"/>
      <c r="D157" s="2"/>
      <c r="E157" s="2"/>
      <c r="F157" s="2"/>
      <c r="G157" s="2"/>
      <c r="H157" s="2"/>
      <c r="I157" s="2"/>
      <c r="J157" s="2"/>
      <c r="K157" s="2"/>
      <c r="L157" s="2"/>
      <c r="M157" s="93"/>
      <c r="N157" s="2"/>
      <c r="O157" s="101"/>
      <c r="P157" s="93"/>
      <c r="Q157" s="102"/>
      <c r="R157" s="3"/>
      <c r="S157" s="2"/>
      <c r="T157" s="2"/>
      <c r="U157" s="2"/>
      <c r="V157" s="2"/>
      <c r="W157" s="2"/>
      <c r="X157" s="2"/>
      <c r="Y157" s="2"/>
      <c r="Z157" s="2"/>
      <c r="AA157" s="2"/>
    </row>
    <row r="158" spans="1:27" hidden="1" x14ac:dyDescent="0.25">
      <c r="A158" s="2"/>
      <c r="B158" s="2"/>
      <c r="C158" s="2"/>
      <c r="D158" s="2"/>
      <c r="E158" s="2"/>
      <c r="F158" s="2"/>
      <c r="G158" s="2"/>
      <c r="H158" s="2"/>
      <c r="I158" s="2"/>
      <c r="J158" s="2"/>
      <c r="K158" s="2"/>
      <c r="L158" s="2"/>
      <c r="M158" s="93"/>
      <c r="N158" s="2"/>
      <c r="O158" s="101"/>
      <c r="P158" s="93"/>
      <c r="Q158" s="102"/>
      <c r="R158" s="3"/>
      <c r="S158" s="2"/>
      <c r="T158" s="2"/>
      <c r="U158" s="2"/>
      <c r="V158" s="2"/>
      <c r="W158" s="2"/>
      <c r="X158" s="2"/>
      <c r="Y158" s="2"/>
      <c r="Z158" s="2"/>
      <c r="AA158" s="2"/>
    </row>
    <row r="159" spans="1:27" hidden="1" x14ac:dyDescent="0.25">
      <c r="A159" s="2"/>
      <c r="B159" s="2"/>
      <c r="C159" s="2"/>
      <c r="D159" s="2"/>
      <c r="E159" s="2"/>
      <c r="F159" s="2"/>
      <c r="G159" s="2"/>
      <c r="H159" s="2"/>
      <c r="I159" s="2"/>
      <c r="J159" s="2"/>
      <c r="K159" s="2"/>
      <c r="L159" s="2"/>
      <c r="M159" s="93"/>
      <c r="N159" s="2"/>
      <c r="O159" s="101"/>
      <c r="P159" s="93"/>
      <c r="Q159" s="102"/>
      <c r="R159" s="3"/>
      <c r="S159" s="2"/>
      <c r="T159" s="2"/>
      <c r="U159" s="2"/>
      <c r="V159" s="2"/>
      <c r="W159" s="2"/>
      <c r="X159" s="2"/>
      <c r="Y159" s="2"/>
      <c r="Z159" s="2"/>
      <c r="AA159" s="2"/>
    </row>
  </sheetData>
  <sheetProtection password="CA0F" sheet="1" objects="1" scenarios="1" formatCells="0" formatColumns="0" formatRows="0" insertColumns="0" insertRows="0" insertHyperlinks="0" deleteColumns="0" deleteRows="0" sort="0" autoFilter="0" pivotTables="0"/>
  <mergeCells count="14">
    <mergeCell ref="A43:B43"/>
    <mergeCell ref="A41:B41"/>
    <mergeCell ref="A42:B42"/>
    <mergeCell ref="G16:J16"/>
    <mergeCell ref="G19:J19"/>
    <mergeCell ref="G22:J22"/>
    <mergeCell ref="A37:B37"/>
    <mergeCell ref="A39:B39"/>
    <mergeCell ref="A40:B40"/>
    <mergeCell ref="A44:B44"/>
    <mergeCell ref="A46:B46"/>
    <mergeCell ref="A48:B48"/>
    <mergeCell ref="A45:B45"/>
    <mergeCell ref="A47:B47"/>
  </mergeCells>
  <phoneticPr fontId="0" type="noConversion"/>
  <conditionalFormatting sqref="G16:J16">
    <cfRule type="cellIs" dxfId="5" priority="1" stopIfTrue="1" operator="equal">
      <formula>"Fläche in Ordnung"</formula>
    </cfRule>
  </conditionalFormatting>
  <conditionalFormatting sqref="G19:J19">
    <cfRule type="cellIs" dxfId="4" priority="2" stopIfTrue="1" operator="equal">
      <formula>"Brennraumhöhe in Ordnung"</formula>
    </cfRule>
  </conditionalFormatting>
  <dataValidations count="5">
    <dataValidation type="custom" allowBlank="1" showInputMessage="1" showErrorMessage="1" sqref="D22">
      <formula1>"N"</formula1>
    </dataValidation>
    <dataValidation type="list" allowBlank="1" showInputMessage="1" showErrorMessage="1" sqref="A44">
      <formula1>$A$61:$A$72</formula1>
    </dataValidation>
    <dataValidation type="list" allowBlank="1" showInputMessage="1" showErrorMessage="1" sqref="A46 A48">
      <formula1>$A$76:$A$88</formula1>
    </dataValidation>
    <dataValidation operator="lessThan" allowBlank="1" showInputMessage="1" showErrorMessage="1" errorTitle="Achtung !" error="Nur Werte bis 150 cm erlaubt !" sqref="D19"/>
    <dataValidation operator="greaterThan" allowBlank="1" showInputMessage="1" showErrorMessage="1" sqref="D13"/>
  </dataValidations>
  <printOptions horizontalCentered="1"/>
  <pageMargins left="0.78740157480314965" right="0.78740157480314965" top="0.98425196850393704" bottom="0.98425196850393704" header="0.51181102362204722" footer="0.51181102362204722"/>
  <pageSetup paperSize="9" scale="85" orientation="portrait" r:id="rId1"/>
  <headerFooter alignWithMargins="0"/>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Y123"/>
  <sheetViews>
    <sheetView showGridLines="0" zoomScale="75" zoomScaleNormal="100" workbookViewId="0">
      <selection activeCell="A15" sqref="A15:H23"/>
    </sheetView>
  </sheetViews>
  <sheetFormatPr baseColWidth="10" defaultColWidth="0" defaultRowHeight="13.5" zeroHeight="1" x14ac:dyDescent="0.25"/>
  <cols>
    <col min="1" max="1" width="34.85546875" style="14" customWidth="1"/>
    <col min="2" max="2" width="14.5703125" style="14" customWidth="1"/>
    <col min="3" max="3" width="33.42578125" style="14" customWidth="1"/>
    <col min="4" max="4" width="11.42578125" style="14" customWidth="1"/>
    <col min="5" max="5" width="4.140625" style="14" bestFit="1" customWidth="1"/>
    <col min="6" max="6" width="4.140625" style="14" customWidth="1"/>
    <col min="7" max="7" width="9.140625" style="14" bestFit="1" customWidth="1"/>
    <col min="8" max="8" width="7.5703125" style="14" bestFit="1" customWidth="1"/>
    <col min="9" max="9" width="4.140625" style="14" bestFit="1" customWidth="1"/>
    <col min="10" max="10" width="11.42578125" style="14" customWidth="1"/>
    <col min="11" max="11" width="32" style="14" hidden="1" customWidth="1"/>
    <col min="12" max="12" width="8" style="14" hidden="1" customWidth="1"/>
    <col min="13" max="13" width="4.5703125" style="14" hidden="1" customWidth="1"/>
    <col min="14" max="14" width="10.28515625" style="14" hidden="1" customWidth="1"/>
    <col min="15" max="23" width="0" style="14" hidden="1" customWidth="1"/>
    <col min="24" max="24" width="18" style="14" hidden="1" customWidth="1"/>
    <col min="25" max="16384" width="0" style="14" hidden="1"/>
  </cols>
  <sheetData>
    <row r="1" spans="1:25" ht="33.75" customHeight="1" thickBot="1" x14ac:dyDescent="0.4">
      <c r="A1" s="94" t="s">
        <v>136</v>
      </c>
      <c r="X1" s="90" t="s">
        <v>180</v>
      </c>
      <c r="Y1" s="32"/>
    </row>
    <row r="2" spans="1:25" x14ac:dyDescent="0.25">
      <c r="X2" s="91">
        <v>36</v>
      </c>
      <c r="Y2" s="16"/>
    </row>
    <row r="3" spans="1:25" x14ac:dyDescent="0.25">
      <c r="A3" s="15"/>
      <c r="B3" s="16"/>
      <c r="C3" s="16"/>
      <c r="D3" s="16"/>
      <c r="E3" s="16"/>
      <c r="F3" s="16"/>
      <c r="X3" s="18">
        <v>48</v>
      </c>
      <c r="Y3" s="16"/>
    </row>
    <row r="4" spans="1:25" x14ac:dyDescent="0.25">
      <c r="A4" s="15"/>
      <c r="B4" s="16"/>
      <c r="C4" s="17" t="s">
        <v>275</v>
      </c>
      <c r="D4" s="175"/>
      <c r="E4" s="281" t="s">
        <v>7</v>
      </c>
      <c r="F4" s="16"/>
      <c r="X4" s="18">
        <v>60</v>
      </c>
      <c r="Y4" s="16"/>
    </row>
    <row r="5" spans="1:25" x14ac:dyDescent="0.25">
      <c r="C5" s="17" t="s">
        <v>274</v>
      </c>
      <c r="D5" s="175"/>
      <c r="E5" s="281" t="s">
        <v>7</v>
      </c>
      <c r="F5" s="16"/>
      <c r="X5" s="18">
        <v>72</v>
      </c>
      <c r="Y5" s="16"/>
    </row>
    <row r="6" spans="1:25" x14ac:dyDescent="0.25">
      <c r="C6" s="16"/>
      <c r="D6" s="19"/>
      <c r="E6" s="16"/>
      <c r="F6" s="16"/>
      <c r="X6" s="18">
        <v>84</v>
      </c>
      <c r="Y6" s="16"/>
    </row>
    <row r="7" spans="1:25" ht="15" x14ac:dyDescent="0.3">
      <c r="C7" s="18" t="s">
        <v>181</v>
      </c>
      <c r="D7" s="21">
        <f>D4*D5</f>
        <v>0</v>
      </c>
      <c r="E7" s="18" t="s">
        <v>3</v>
      </c>
      <c r="G7" s="491" t="str">
        <f>IF(D7&lt;D24,"Fläche zu klein",IF(D7&gt;D25,"Fläche zu groß","Fläche in Ordnung"))</f>
        <v>Fläche zu klein</v>
      </c>
      <c r="H7" s="491"/>
      <c r="I7" s="491"/>
      <c r="J7" s="491"/>
      <c r="X7" s="18">
        <v>96</v>
      </c>
      <c r="Y7" s="16"/>
    </row>
    <row r="8" spans="1:25" x14ac:dyDescent="0.25">
      <c r="X8" s="16"/>
      <c r="Y8" s="16"/>
    </row>
    <row r="9" spans="1:25" ht="15" x14ac:dyDescent="0.3">
      <c r="C9" s="18" t="s">
        <v>182</v>
      </c>
      <c r="D9" s="21" t="e">
        <f>(D23-2*D7)/D27</f>
        <v>#DIV/0!</v>
      </c>
      <c r="E9" s="18" t="s">
        <v>8</v>
      </c>
      <c r="G9" s="22" t="s">
        <v>105</v>
      </c>
      <c r="H9" s="23"/>
      <c r="I9" s="23"/>
      <c r="J9" s="23"/>
      <c r="X9" s="16"/>
      <c r="Y9" s="16"/>
    </row>
    <row r="10" spans="1:25" ht="15" x14ac:dyDescent="0.3">
      <c r="C10" s="18" t="s">
        <v>183</v>
      </c>
      <c r="D10" s="176"/>
      <c r="E10" s="281" t="s">
        <v>7</v>
      </c>
      <c r="G10" s="491" t="str">
        <f>IF(D10="","Wert eingeben",IF(D10&lt;D9*0.95,"Brennraumhöhe zu gering",IF(D10&gt;D9*1.05,"Brennraumhöhe zu groß","Brennraumhöhe in Ordnung")))</f>
        <v>Wert eingeben</v>
      </c>
      <c r="H10" s="491"/>
      <c r="I10" s="491"/>
      <c r="J10" s="491"/>
      <c r="X10" s="16"/>
      <c r="Y10" s="16"/>
    </row>
    <row r="11" spans="1:25" x14ac:dyDescent="0.25"/>
    <row r="12" spans="1:25" x14ac:dyDescent="0.25"/>
    <row r="13" spans="1:25" x14ac:dyDescent="0.25">
      <c r="C13" s="25" t="s">
        <v>177</v>
      </c>
      <c r="D13" s="26" t="s">
        <v>132</v>
      </c>
      <c r="E13" s="16"/>
      <c r="G13" s="492"/>
      <c r="H13" s="492"/>
      <c r="I13" s="492"/>
      <c r="J13" s="492"/>
    </row>
    <row r="14" spans="1:25" x14ac:dyDescent="0.25">
      <c r="C14" s="19"/>
      <c r="D14" s="26"/>
      <c r="E14" s="16"/>
      <c r="G14" s="27"/>
      <c r="H14" s="27"/>
      <c r="I14" s="27"/>
      <c r="J14" s="27"/>
    </row>
    <row r="15" spans="1:25" x14ac:dyDescent="0.25">
      <c r="C15" s="19"/>
      <c r="D15" s="26"/>
      <c r="E15" s="16"/>
      <c r="G15" s="27"/>
      <c r="H15" s="27"/>
      <c r="I15" s="27"/>
      <c r="J15" s="27"/>
    </row>
    <row r="16" spans="1:25" x14ac:dyDescent="0.25">
      <c r="C16" s="19"/>
      <c r="D16" s="26"/>
      <c r="E16" s="16"/>
      <c r="G16" s="27"/>
      <c r="H16" s="27"/>
      <c r="I16" s="27"/>
      <c r="J16" s="27"/>
    </row>
    <row r="17" spans="3:10" x14ac:dyDescent="0.25">
      <c r="C17" s="19"/>
      <c r="D17" s="26"/>
      <c r="E17" s="16"/>
      <c r="G17" s="27"/>
      <c r="H17" s="27"/>
      <c r="I17" s="27"/>
      <c r="J17" s="27"/>
    </row>
    <row r="18" spans="3:10" x14ac:dyDescent="0.25">
      <c r="C18" s="19"/>
      <c r="D18" s="26"/>
      <c r="E18" s="16"/>
      <c r="G18" s="27"/>
      <c r="H18" s="27"/>
      <c r="I18" s="27"/>
      <c r="J18" s="27"/>
    </row>
    <row r="19" spans="3:10" x14ac:dyDescent="0.25">
      <c r="C19" s="19"/>
      <c r="D19" s="26"/>
      <c r="E19" s="16"/>
      <c r="G19" s="27"/>
      <c r="H19" s="27"/>
      <c r="I19" s="27"/>
      <c r="J19" s="27"/>
    </row>
    <row r="20" spans="3:10" ht="15" x14ac:dyDescent="0.3">
      <c r="C20" s="14" t="s">
        <v>184</v>
      </c>
      <c r="D20" s="28">
        <f>Berechnung!F11</f>
        <v>11.1</v>
      </c>
      <c r="E20" s="14" t="s">
        <v>1</v>
      </c>
      <c r="G20" s="27"/>
      <c r="H20" s="27"/>
      <c r="I20" s="27"/>
      <c r="J20" s="27"/>
    </row>
    <row r="21" spans="3:10" ht="15" x14ac:dyDescent="0.3">
      <c r="C21" s="24" t="s">
        <v>185</v>
      </c>
      <c r="D21" s="28">
        <f>D20/2</f>
        <v>5.55</v>
      </c>
      <c r="E21" s="14" t="s">
        <v>1</v>
      </c>
      <c r="G21" s="27"/>
      <c r="H21" s="27"/>
      <c r="I21" s="27"/>
      <c r="J21" s="27"/>
    </row>
    <row r="22" spans="3:10" x14ac:dyDescent="0.25">
      <c r="G22" s="27"/>
      <c r="H22" s="27"/>
      <c r="I22" s="27"/>
      <c r="J22" s="27"/>
    </row>
    <row r="23" spans="3:10" ht="15" x14ac:dyDescent="0.3">
      <c r="C23" s="14" t="s">
        <v>186</v>
      </c>
      <c r="D23" s="28">
        <f>900*D20</f>
        <v>9990</v>
      </c>
      <c r="E23" s="14" t="s">
        <v>3</v>
      </c>
    </row>
    <row r="24" spans="3:10" ht="15" x14ac:dyDescent="0.3">
      <c r="C24" s="14" t="s">
        <v>187</v>
      </c>
      <c r="D24" s="28">
        <f>100*D20</f>
        <v>1110</v>
      </c>
      <c r="E24" s="14" t="s">
        <v>3</v>
      </c>
    </row>
    <row r="25" spans="3:10" ht="15" x14ac:dyDescent="0.3">
      <c r="C25" s="14" t="s">
        <v>188</v>
      </c>
      <c r="D25" s="28">
        <f>(D23-D26*D27)/2</f>
        <v>4995</v>
      </c>
      <c r="E25" s="14" t="s">
        <v>3</v>
      </c>
    </row>
    <row r="26" spans="3:10" ht="15" x14ac:dyDescent="0.3">
      <c r="C26" s="14" t="s">
        <v>189</v>
      </c>
      <c r="D26" s="28">
        <f>25+D20</f>
        <v>36.1</v>
      </c>
      <c r="E26" s="14" t="s">
        <v>7</v>
      </c>
    </row>
    <row r="27" spans="3:10" x14ac:dyDescent="0.25">
      <c r="C27" s="14" t="s">
        <v>6</v>
      </c>
      <c r="D27" s="14">
        <f>(D5+D4)*2</f>
        <v>0</v>
      </c>
      <c r="E27" s="14" t="s">
        <v>8</v>
      </c>
    </row>
    <row r="28" spans="3:10" x14ac:dyDescent="0.25"/>
    <row r="29" spans="3:10" x14ac:dyDescent="0.25"/>
    <row r="30" spans="3:10" x14ac:dyDescent="0.25"/>
    <row r="31" spans="3:10" x14ac:dyDescent="0.25"/>
    <row r="32" spans="3:10" x14ac:dyDescent="0.25"/>
    <row r="33" spans="1:4" x14ac:dyDescent="0.25"/>
    <row r="34" spans="1:4" x14ac:dyDescent="0.25"/>
    <row r="35" spans="1:4" x14ac:dyDescent="0.25"/>
    <row r="36" spans="1:4" x14ac:dyDescent="0.25"/>
    <row r="37" spans="1:4" x14ac:dyDescent="0.25"/>
    <row r="38" spans="1:4" x14ac:dyDescent="0.25"/>
    <row r="39" spans="1:4" x14ac:dyDescent="0.25"/>
    <row r="40" spans="1:4" x14ac:dyDescent="0.25"/>
    <row r="41" spans="1:4" x14ac:dyDescent="0.25"/>
    <row r="42" spans="1:4" x14ac:dyDescent="0.25"/>
    <row r="43" spans="1:4" ht="18.75" thickBot="1" x14ac:dyDescent="0.3">
      <c r="A43" s="13" t="s">
        <v>220</v>
      </c>
    </row>
    <row r="44" spans="1:4" ht="16.5" thickBot="1" x14ac:dyDescent="0.3">
      <c r="A44" s="508" t="s">
        <v>137</v>
      </c>
      <c r="B44" s="509"/>
      <c r="C44" s="129" t="s">
        <v>138</v>
      </c>
      <c r="D44" s="128" t="s">
        <v>139</v>
      </c>
    </row>
    <row r="45" spans="1:4" ht="5.0999999999999996" customHeight="1" x14ac:dyDescent="0.25">
      <c r="A45" s="503" t="s">
        <v>132</v>
      </c>
      <c r="B45" s="504"/>
      <c r="C45" s="16"/>
      <c r="D45" s="136"/>
    </row>
    <row r="46" spans="1:4" x14ac:dyDescent="0.25">
      <c r="A46" s="505" t="s">
        <v>246</v>
      </c>
      <c r="B46" s="506"/>
      <c r="C46" s="138"/>
      <c r="D46" s="137">
        <f>((D4*2)/12)+((D5*2)/12)</f>
        <v>0</v>
      </c>
    </row>
    <row r="47" spans="1:4" x14ac:dyDescent="0.25">
      <c r="A47" s="501" t="s">
        <v>247</v>
      </c>
      <c r="B47" s="507"/>
      <c r="C47" s="127"/>
      <c r="D47" s="133">
        <v>4</v>
      </c>
    </row>
    <row r="48" spans="1:4" x14ac:dyDescent="0.25">
      <c r="A48" s="501" t="s">
        <v>248</v>
      </c>
      <c r="B48" s="507"/>
      <c r="C48" s="127"/>
      <c r="D48" s="133">
        <f>D46</f>
        <v>0</v>
      </c>
    </row>
    <row r="49" spans="1:4" x14ac:dyDescent="0.25">
      <c r="A49" s="501" t="s">
        <v>249</v>
      </c>
      <c r="B49" s="507"/>
      <c r="C49" s="127"/>
      <c r="D49" s="133">
        <v>3</v>
      </c>
    </row>
    <row r="50" spans="1:4" x14ac:dyDescent="0.25">
      <c r="A50" s="501" t="s">
        <v>250</v>
      </c>
      <c r="B50" s="507"/>
      <c r="C50" s="127"/>
      <c r="D50" s="133">
        <v>1</v>
      </c>
    </row>
    <row r="51" spans="1:4" x14ac:dyDescent="0.25">
      <c r="A51" s="501" t="s">
        <v>251</v>
      </c>
      <c r="B51" s="502"/>
      <c r="C51" s="298" t="s">
        <v>267</v>
      </c>
      <c r="D51" s="133">
        <f>(VLOOKUP(C51,B102:D114,2,FALSE)*VLOOKUP(C51,B102:D114,3,FALSE))*2</f>
        <v>0</v>
      </c>
    </row>
    <row r="52" spans="1:4" x14ac:dyDescent="0.25">
      <c r="A52" s="499"/>
      <c r="B52" s="499"/>
      <c r="C52"/>
      <c r="D52" s="123"/>
    </row>
    <row r="53" spans="1:4" x14ac:dyDescent="0.25">
      <c r="A53" s="498" t="s">
        <v>253</v>
      </c>
      <c r="B53" s="498"/>
      <c r="C53" s="126" t="s">
        <v>221</v>
      </c>
      <c r="D53" s="132">
        <f>ROUNDUP(((((D4+24)*2)+((D5)*2))/18),0)*ROUNDUP(((D10-32)/12),0)+1</f>
        <v>-8</v>
      </c>
    </row>
    <row r="54" spans="1:4" x14ac:dyDescent="0.25">
      <c r="A54" s="498" t="s">
        <v>254</v>
      </c>
      <c r="B54" s="498"/>
      <c r="C54" s="126" t="s">
        <v>255</v>
      </c>
      <c r="D54" s="132">
        <f>ROUNDUP(((((D4+24)*2)+(D5*2))/30),0)+1</f>
        <v>3</v>
      </c>
    </row>
    <row r="55" spans="1:4" x14ac:dyDescent="0.25">
      <c r="A55" s="499"/>
      <c r="B55" s="499"/>
      <c r="C55"/>
      <c r="D55" s="123"/>
    </row>
    <row r="56" spans="1:4" x14ac:dyDescent="0.25">
      <c r="A56" s="500" t="s">
        <v>256</v>
      </c>
      <c r="B56" s="500"/>
      <c r="C56"/>
      <c r="D56" s="123"/>
    </row>
    <row r="57" spans="1:4" x14ac:dyDescent="0.25">
      <c r="A57" s="498" t="str">
        <f>IF(C57="60/540/297","Quickboard 540",IF(C57="60/660/297","Quickboard 660",IF(C57="60/780/297","Quickboard 780",FALSE)))</f>
        <v>Quickboard 540</v>
      </c>
      <c r="B57" s="498"/>
      <c r="C57" s="299" t="s">
        <v>233</v>
      </c>
      <c r="D57" s="134">
        <f>VLOOKUP(C57,B121:D123,2,FALSE)*VLOOKUP(C57,B121:D123,3,FALSE)</f>
        <v>1</v>
      </c>
    </row>
    <row r="58" spans="1:4" x14ac:dyDescent="0.25">
      <c r="A58" s="498" t="s">
        <v>257</v>
      </c>
      <c r="B58" s="498"/>
      <c r="C58" s="126" t="s">
        <v>224</v>
      </c>
      <c r="D58" s="133" t="e">
        <f>ROUNDUP(((60*90)/(((D4+24)*2)*(D5*2))),0)</f>
        <v>#DIV/0!</v>
      </c>
    </row>
    <row r="59" spans="1:4" x14ac:dyDescent="0.25"/>
    <row r="60" spans="1:4" hidden="1" x14ac:dyDescent="0.25"/>
    <row r="61" spans="1:4" hidden="1" x14ac:dyDescent="0.25"/>
    <row r="62" spans="1:4" hidden="1" x14ac:dyDescent="0.25"/>
    <row r="63" spans="1:4" hidden="1" x14ac:dyDescent="0.25"/>
    <row r="64" spans="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spans="1:4" hidden="1" x14ac:dyDescent="0.25"/>
    <row r="98" spans="1:4" hidden="1" x14ac:dyDescent="0.25"/>
    <row r="99" spans="1:4" hidden="1" x14ac:dyDescent="0.25"/>
    <row r="100" spans="1:4" ht="14.25" hidden="1" thickBot="1" x14ac:dyDescent="0.3"/>
    <row r="101" spans="1:4" ht="14.25" hidden="1" thickBot="1" x14ac:dyDescent="0.3">
      <c r="A101" s="103" t="s">
        <v>164</v>
      </c>
      <c r="B101" s="103" t="s">
        <v>138</v>
      </c>
      <c r="C101" s="90" t="s">
        <v>258</v>
      </c>
      <c r="D101" s="122" t="s">
        <v>260</v>
      </c>
    </row>
    <row r="102" spans="1:4" hidden="1" x14ac:dyDescent="0.25">
      <c r="A102" s="104" t="s">
        <v>165</v>
      </c>
      <c r="B102" s="96" t="s">
        <v>261</v>
      </c>
      <c r="C102" s="117">
        <f t="shared" ref="C102:C114" si="0">ROUNDUP($D$5/(RIGHT(B102,3)/10),0)</f>
        <v>0</v>
      </c>
      <c r="D102" s="14">
        <f t="shared" ref="D102:D114" si="1">ROUNDUP($D$4/(MID(B102,4,3)/10),0)</f>
        <v>0</v>
      </c>
    </row>
    <row r="103" spans="1:4" hidden="1" x14ac:dyDescent="0.25">
      <c r="A103" s="105" t="s">
        <v>166</v>
      </c>
      <c r="B103" s="96" t="s">
        <v>262</v>
      </c>
      <c r="C103" s="117">
        <f t="shared" si="0"/>
        <v>0</v>
      </c>
      <c r="D103" s="14">
        <f t="shared" si="1"/>
        <v>0</v>
      </c>
    </row>
    <row r="104" spans="1:4" hidden="1" x14ac:dyDescent="0.25">
      <c r="A104" s="105" t="s">
        <v>167</v>
      </c>
      <c r="B104" s="96" t="s">
        <v>263</v>
      </c>
      <c r="C104" s="117">
        <f t="shared" si="0"/>
        <v>0</v>
      </c>
      <c r="D104" s="14">
        <f t="shared" si="1"/>
        <v>0</v>
      </c>
    </row>
    <row r="105" spans="1:4" hidden="1" x14ac:dyDescent="0.25">
      <c r="A105" s="105" t="s">
        <v>168</v>
      </c>
      <c r="B105" s="96" t="s">
        <v>264</v>
      </c>
      <c r="C105" s="117">
        <f t="shared" si="0"/>
        <v>0</v>
      </c>
      <c r="D105" s="14">
        <f t="shared" si="1"/>
        <v>0</v>
      </c>
    </row>
    <row r="106" spans="1:4" hidden="1" x14ac:dyDescent="0.25">
      <c r="A106" s="105" t="s">
        <v>169</v>
      </c>
      <c r="B106" s="96" t="s">
        <v>265</v>
      </c>
      <c r="C106" s="117">
        <f t="shared" si="0"/>
        <v>0</v>
      </c>
      <c r="D106" s="14">
        <f t="shared" si="1"/>
        <v>0</v>
      </c>
    </row>
    <row r="107" spans="1:4" hidden="1" x14ac:dyDescent="0.25">
      <c r="A107" s="105" t="s">
        <v>170</v>
      </c>
      <c r="B107" s="96" t="s">
        <v>252</v>
      </c>
      <c r="C107" s="117">
        <f t="shared" si="0"/>
        <v>0</v>
      </c>
      <c r="D107" s="14">
        <f t="shared" si="1"/>
        <v>0</v>
      </c>
    </row>
    <row r="108" spans="1:4" hidden="1" x14ac:dyDescent="0.25">
      <c r="A108" s="105" t="s">
        <v>171</v>
      </c>
      <c r="B108" s="96" t="s">
        <v>266</v>
      </c>
      <c r="C108" s="117">
        <f t="shared" si="0"/>
        <v>0</v>
      </c>
      <c r="D108" s="14">
        <f t="shared" si="1"/>
        <v>0</v>
      </c>
    </row>
    <row r="109" spans="1:4" hidden="1" x14ac:dyDescent="0.25">
      <c r="A109" s="105" t="s">
        <v>172</v>
      </c>
      <c r="B109" s="96" t="s">
        <v>267</v>
      </c>
      <c r="C109" s="117">
        <f t="shared" si="0"/>
        <v>0</v>
      </c>
      <c r="D109" s="14">
        <f t="shared" si="1"/>
        <v>0</v>
      </c>
    </row>
    <row r="110" spans="1:4" hidden="1" x14ac:dyDescent="0.25">
      <c r="A110" s="105" t="s">
        <v>151</v>
      </c>
      <c r="B110" s="96" t="s">
        <v>268</v>
      </c>
      <c r="C110" s="117">
        <f t="shared" si="0"/>
        <v>0</v>
      </c>
      <c r="D110" s="14">
        <f t="shared" si="1"/>
        <v>0</v>
      </c>
    </row>
    <row r="111" spans="1:4" hidden="1" x14ac:dyDescent="0.25">
      <c r="A111" s="105" t="s">
        <v>173</v>
      </c>
      <c r="B111" s="96" t="s">
        <v>269</v>
      </c>
      <c r="C111" s="117">
        <f t="shared" si="0"/>
        <v>0</v>
      </c>
      <c r="D111" s="14">
        <f t="shared" si="1"/>
        <v>0</v>
      </c>
    </row>
    <row r="112" spans="1:4" hidden="1" x14ac:dyDescent="0.25">
      <c r="A112" s="105" t="s">
        <v>174</v>
      </c>
      <c r="B112" s="96" t="s">
        <v>270</v>
      </c>
      <c r="C112" s="117">
        <f t="shared" si="0"/>
        <v>0</v>
      </c>
      <c r="D112" s="14">
        <f t="shared" si="1"/>
        <v>0</v>
      </c>
    </row>
    <row r="113" spans="1:4" hidden="1" x14ac:dyDescent="0.25">
      <c r="A113" s="105" t="s">
        <v>175</v>
      </c>
      <c r="B113" s="96" t="s">
        <v>271</v>
      </c>
      <c r="C113" s="117">
        <f t="shared" si="0"/>
        <v>0</v>
      </c>
      <c r="D113" s="14">
        <f t="shared" si="1"/>
        <v>0</v>
      </c>
    </row>
    <row r="114" spans="1:4" hidden="1" x14ac:dyDescent="0.25">
      <c r="A114" s="105" t="s">
        <v>176</v>
      </c>
      <c r="B114" s="96" t="s">
        <v>272</v>
      </c>
      <c r="C114" s="117">
        <f t="shared" si="0"/>
        <v>0</v>
      </c>
      <c r="D114" s="14">
        <f t="shared" si="1"/>
        <v>0</v>
      </c>
    </row>
    <row r="115" spans="1:4" hidden="1" x14ac:dyDescent="0.25"/>
    <row r="116" spans="1:4" hidden="1" x14ac:dyDescent="0.25"/>
    <row r="117" spans="1:4" hidden="1" x14ac:dyDescent="0.25"/>
    <row r="118" spans="1:4" hidden="1" x14ac:dyDescent="0.25"/>
    <row r="119" spans="1:4" ht="14.25" hidden="1" thickBot="1" x14ac:dyDescent="0.3"/>
    <row r="120" spans="1:4" ht="14.25" hidden="1" thickBot="1" x14ac:dyDescent="0.3">
      <c r="A120" s="103" t="s">
        <v>152</v>
      </c>
      <c r="B120" s="103" t="s">
        <v>138</v>
      </c>
      <c r="C120" s="122" t="s">
        <v>259</v>
      </c>
      <c r="D120" s="122" t="s">
        <v>273</v>
      </c>
    </row>
    <row r="121" spans="1:4" hidden="1" x14ac:dyDescent="0.25">
      <c r="A121" s="105" t="s">
        <v>161</v>
      </c>
      <c r="B121" s="96" t="s">
        <v>233</v>
      </c>
      <c r="C121" s="117">
        <f>ROUNDUP((D4+24)/(MID(B121,4,3)/10),0)</f>
        <v>1</v>
      </c>
      <c r="D121" s="117">
        <f>ROUNDUP(((D5+24)/(30)),0)</f>
        <v>1</v>
      </c>
    </row>
    <row r="122" spans="1:4" hidden="1" x14ac:dyDescent="0.25">
      <c r="A122" s="105" t="s">
        <v>162</v>
      </c>
      <c r="B122" s="96" t="s">
        <v>234</v>
      </c>
      <c r="C122" s="117">
        <f>ROUNDUP((D4+24)/(MID(B122,4,3)/10),0)</f>
        <v>1</v>
      </c>
      <c r="D122" s="117">
        <f>ROUNDUP(((D5+24)/(30)),0)</f>
        <v>1</v>
      </c>
    </row>
    <row r="123" spans="1:4" hidden="1" x14ac:dyDescent="0.25">
      <c r="A123" s="105" t="s">
        <v>163</v>
      </c>
      <c r="B123" s="96" t="s">
        <v>235</v>
      </c>
      <c r="C123" s="117">
        <f>ROUNDUP((D4+24)/(MID(B123,4,3)/10),0)</f>
        <v>1</v>
      </c>
      <c r="D123" s="117">
        <f>ROUNDUP(((D5+24)/(30)),0)</f>
        <v>1</v>
      </c>
    </row>
  </sheetData>
  <mergeCells count="18">
    <mergeCell ref="G7:J7"/>
    <mergeCell ref="G10:J10"/>
    <mergeCell ref="G13:J13"/>
    <mergeCell ref="A44:B44"/>
    <mergeCell ref="A49:B49"/>
    <mergeCell ref="A51:B51"/>
    <mergeCell ref="A52:B52"/>
    <mergeCell ref="A45:B45"/>
    <mergeCell ref="A46:B46"/>
    <mergeCell ref="A47:B47"/>
    <mergeCell ref="A48:B48"/>
    <mergeCell ref="A50:B50"/>
    <mergeCell ref="A57:B57"/>
    <mergeCell ref="A58:B58"/>
    <mergeCell ref="A53:B53"/>
    <mergeCell ref="A54:B54"/>
    <mergeCell ref="A55:B55"/>
    <mergeCell ref="A56:B56"/>
  </mergeCells>
  <phoneticPr fontId="0" type="noConversion"/>
  <conditionalFormatting sqref="G7:J7">
    <cfRule type="cellIs" dxfId="3" priority="1" stopIfTrue="1" operator="equal">
      <formula>"Fläche in Ordnung"</formula>
    </cfRule>
  </conditionalFormatting>
  <conditionalFormatting sqref="G10:J10">
    <cfRule type="cellIs" dxfId="2" priority="2" stopIfTrue="1" operator="equal">
      <formula>"Brennraumhöhe in Ordnung"</formula>
    </cfRule>
  </conditionalFormatting>
  <dataValidations count="6">
    <dataValidation type="custom" allowBlank="1" showInputMessage="1" showErrorMessage="1" sqref="D13:D19">
      <formula1>"B"</formula1>
    </dataValidation>
    <dataValidation type="list" allowBlank="1" showInputMessage="1" showErrorMessage="1" sqref="D4:D5">
      <formula1>$X$2:$X$7</formula1>
    </dataValidation>
    <dataValidation type="list" allowBlank="1" showInputMessage="1" showErrorMessage="1" sqref="C51">
      <formula1>$B$102:$B$114</formula1>
    </dataValidation>
    <dataValidation type="list" allowBlank="1" showInputMessage="1" showErrorMessage="1" sqref="C57">
      <formula1>$B$121:$B$123</formula1>
    </dataValidation>
    <dataValidation type="decimal" allowBlank="1" showInputMessage="1" showErrorMessage="1" errorTitle="Achtung !" error="Nur Werte zwischen 32 und 150 cm erlaubt !" sqref="D10">
      <formula1>32</formula1>
      <formula2>150</formula2>
    </dataValidation>
    <dataValidation type="custom" allowBlank="1" showInputMessage="1" showErrorMessage="1" sqref="C4">
      <formula1>"Breite B"</formula1>
    </dataValidation>
  </dataValidations>
  <printOptions horizontalCentered="1"/>
  <pageMargins left="0.78740157480314965" right="0.78740157480314965" top="0.98425196850393704" bottom="0.98425196850393704" header="0.51181102362204722" footer="0.51181102362204722"/>
  <pageSetup paperSize="9" scale="88" orientation="portrait" r:id="rId1"/>
  <headerFooter alignWithMargins="0"/>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1">
    <pageSetUpPr fitToPage="1"/>
  </sheetPr>
  <dimension ref="A1:Y1002"/>
  <sheetViews>
    <sheetView showGridLines="0" zoomScale="75" zoomScaleNormal="75" workbookViewId="0">
      <selection activeCell="A15" sqref="A15:H23"/>
    </sheetView>
  </sheetViews>
  <sheetFormatPr baseColWidth="10" defaultColWidth="0" defaultRowHeight="13.5" zeroHeight="1" x14ac:dyDescent="0.25"/>
  <cols>
    <col min="1" max="1" width="34.85546875" style="14" customWidth="1"/>
    <col min="2" max="2" width="14.5703125" style="14" customWidth="1"/>
    <col min="3" max="3" width="34.28515625" style="14" customWidth="1"/>
    <col min="4" max="4" width="12.42578125" style="14" customWidth="1"/>
    <col min="5" max="5" width="4.140625" style="14" bestFit="1" customWidth="1"/>
    <col min="6" max="6" width="4.140625" style="14" customWidth="1"/>
    <col min="7" max="7" width="9.140625" style="14" bestFit="1" customWidth="1"/>
    <col min="8" max="8" width="7.5703125" style="14" bestFit="1" customWidth="1"/>
    <col min="9" max="9" width="4.140625" style="14" bestFit="1" customWidth="1"/>
    <col min="10" max="10" width="11.42578125" style="14" customWidth="1"/>
    <col min="11" max="11" width="32" style="14" hidden="1" customWidth="1"/>
    <col min="12" max="12" width="8" style="14" hidden="1" customWidth="1"/>
    <col min="13" max="13" width="4.5703125" style="14" hidden="1" customWidth="1"/>
    <col min="14" max="14" width="10.28515625" style="14" hidden="1" customWidth="1"/>
    <col min="15" max="23" width="0" style="14" hidden="1" customWidth="1"/>
    <col min="24" max="24" width="18" style="14" hidden="1" customWidth="1"/>
    <col min="25" max="16384" width="0" style="14" hidden="1"/>
  </cols>
  <sheetData>
    <row r="1" spans="1:25" ht="33.75" customHeight="1" thickBot="1" x14ac:dyDescent="0.4">
      <c r="A1" s="94" t="s">
        <v>305</v>
      </c>
      <c r="X1" s="90" t="s">
        <v>180</v>
      </c>
      <c r="Y1" s="32"/>
    </row>
    <row r="2" spans="1:25" x14ac:dyDescent="0.25">
      <c r="X2" s="91">
        <v>30</v>
      </c>
      <c r="Y2" s="16"/>
    </row>
    <row r="3" spans="1:25" x14ac:dyDescent="0.25">
      <c r="A3" s="15"/>
      <c r="B3" s="16"/>
      <c r="C3" s="16"/>
      <c r="D3" s="16"/>
      <c r="E3" s="16"/>
      <c r="F3" s="16"/>
      <c r="X3" s="18">
        <v>37.5</v>
      </c>
      <c r="Y3" s="16"/>
    </row>
    <row r="4" spans="1:25" x14ac:dyDescent="0.25">
      <c r="A4" s="15"/>
      <c r="B4" s="16"/>
      <c r="C4" s="17" t="s">
        <v>275</v>
      </c>
      <c r="D4" s="175"/>
      <c r="E4" s="281" t="s">
        <v>7</v>
      </c>
      <c r="F4" s="16"/>
      <c r="X4" s="18">
        <v>45</v>
      </c>
      <c r="Y4" s="16"/>
    </row>
    <row r="5" spans="1:25" x14ac:dyDescent="0.25">
      <c r="C5" s="17" t="s">
        <v>274</v>
      </c>
      <c r="D5" s="175"/>
      <c r="E5" s="281" t="s">
        <v>7</v>
      </c>
      <c r="F5" s="16"/>
      <c r="X5" s="18">
        <v>52.5</v>
      </c>
      <c r="Y5" s="16"/>
    </row>
    <row r="6" spans="1:25" x14ac:dyDescent="0.25">
      <c r="C6" s="16"/>
      <c r="D6" s="19"/>
      <c r="E6" s="16"/>
      <c r="F6" s="16"/>
      <c r="X6" s="18">
        <v>60</v>
      </c>
      <c r="Y6" s="16"/>
    </row>
    <row r="7" spans="1:25" ht="15" x14ac:dyDescent="0.3">
      <c r="C7" s="18" t="s">
        <v>181</v>
      </c>
      <c r="D7" s="21">
        <f>D4*D5</f>
        <v>0</v>
      </c>
      <c r="E7" s="18" t="s">
        <v>3</v>
      </c>
      <c r="G7" s="510" t="str">
        <f>IF(D7&lt;D24,"Fläche zu klein",IF(D7&gt;D25,"Fläche zu groß","Fläche in Ordnung"))</f>
        <v>Fläche zu klein</v>
      </c>
      <c r="H7" s="510"/>
      <c r="I7" s="510"/>
      <c r="J7" s="510"/>
      <c r="X7" s="18">
        <v>67.5</v>
      </c>
      <c r="Y7" s="16"/>
    </row>
    <row r="8" spans="1:25" x14ac:dyDescent="0.25">
      <c r="G8" s="16"/>
      <c r="H8" s="16"/>
      <c r="I8" s="16"/>
      <c r="J8" s="16"/>
      <c r="X8" s="18">
        <v>75</v>
      </c>
      <c r="Y8" s="16"/>
    </row>
    <row r="9" spans="1:25" ht="15" x14ac:dyDescent="0.3">
      <c r="C9" s="18" t="s">
        <v>182</v>
      </c>
      <c r="D9" s="21" t="e">
        <f>(D23-2*D7)/D27</f>
        <v>#DIV/0!</v>
      </c>
      <c r="E9" s="18" t="s">
        <v>8</v>
      </c>
      <c r="G9" s="125" t="s">
        <v>105</v>
      </c>
      <c r="H9" s="124"/>
      <c r="I9" s="124"/>
      <c r="J9" s="124"/>
      <c r="X9" s="18">
        <v>82.5</v>
      </c>
      <c r="Y9" s="16"/>
    </row>
    <row r="10" spans="1:25" ht="15" x14ac:dyDescent="0.3">
      <c r="C10" s="18" t="s">
        <v>183</v>
      </c>
      <c r="D10" s="176"/>
      <c r="E10" s="281" t="s">
        <v>7</v>
      </c>
      <c r="G10" s="510" t="str">
        <f>IF(D10="","Wert eingeben",IF(D10&lt;D9*0.95,"Brennraumhöhe zu gering",IF(D10&gt;D9*1.05,"Brennraumhöhe zu groß","Brennraumhöhe in Ordnung")))</f>
        <v>Wert eingeben</v>
      </c>
      <c r="H10" s="510"/>
      <c r="I10" s="510"/>
      <c r="J10" s="510"/>
      <c r="X10" s="18">
        <v>90</v>
      </c>
      <c r="Y10" s="16"/>
    </row>
    <row r="11" spans="1:25" x14ac:dyDescent="0.25">
      <c r="G11" s="16"/>
      <c r="H11" s="16"/>
      <c r="I11" s="16"/>
      <c r="J11" s="16"/>
    </row>
    <row r="12" spans="1:25" x14ac:dyDescent="0.25"/>
    <row r="13" spans="1:25" x14ac:dyDescent="0.25">
      <c r="C13" s="25" t="s">
        <v>90</v>
      </c>
      <c r="D13" s="26" t="s">
        <v>132</v>
      </c>
      <c r="E13" s="16"/>
      <c r="G13" s="492"/>
      <c r="H13" s="492"/>
      <c r="I13" s="492"/>
      <c r="J13" s="492"/>
    </row>
    <row r="14" spans="1:25" x14ac:dyDescent="0.25">
      <c r="C14" s="19"/>
      <c r="D14" s="26"/>
      <c r="E14" s="16"/>
      <c r="G14" s="27"/>
      <c r="H14" s="27"/>
      <c r="I14" s="27"/>
      <c r="J14" s="27"/>
    </row>
    <row r="15" spans="1:25" x14ac:dyDescent="0.25">
      <c r="C15" s="19"/>
      <c r="D15" s="26"/>
      <c r="E15" s="16"/>
      <c r="G15" s="27"/>
      <c r="H15" s="27"/>
      <c r="I15" s="27"/>
      <c r="J15" s="27"/>
    </row>
    <row r="16" spans="1:25" x14ac:dyDescent="0.25">
      <c r="C16" s="19"/>
      <c r="D16" s="26"/>
      <c r="E16" s="16"/>
      <c r="G16" s="27"/>
      <c r="H16" s="27"/>
      <c r="I16" s="27"/>
      <c r="J16" s="27"/>
    </row>
    <row r="17" spans="3:10" x14ac:dyDescent="0.25">
      <c r="C17" s="19"/>
      <c r="D17" s="26"/>
      <c r="E17" s="16"/>
      <c r="G17" s="27"/>
      <c r="H17" s="27"/>
      <c r="I17" s="27"/>
      <c r="J17" s="27"/>
    </row>
    <row r="18" spans="3:10" x14ac:dyDescent="0.25">
      <c r="C18" s="19"/>
      <c r="D18" s="26"/>
      <c r="E18" s="16"/>
      <c r="G18" s="27"/>
      <c r="H18" s="27"/>
      <c r="I18" s="27"/>
      <c r="J18" s="27"/>
    </row>
    <row r="19" spans="3:10" x14ac:dyDescent="0.25">
      <c r="C19" s="19"/>
      <c r="D19" s="26"/>
      <c r="E19" s="16"/>
      <c r="G19" s="27"/>
      <c r="H19" s="27"/>
      <c r="I19" s="27"/>
      <c r="J19" s="27"/>
    </row>
    <row r="20" spans="3:10" ht="15" x14ac:dyDescent="0.3">
      <c r="C20" s="14" t="s">
        <v>184</v>
      </c>
      <c r="D20" s="28">
        <f>Berechnung!F11</f>
        <v>11.1</v>
      </c>
      <c r="E20" s="14" t="s">
        <v>1</v>
      </c>
      <c r="G20" s="27"/>
      <c r="H20" s="27"/>
      <c r="I20" s="27"/>
      <c r="J20" s="27"/>
    </row>
    <row r="21" spans="3:10" ht="15" x14ac:dyDescent="0.3">
      <c r="C21" s="24" t="s">
        <v>185</v>
      </c>
      <c r="D21" s="28">
        <f>D20/2</f>
        <v>5.55</v>
      </c>
      <c r="E21" s="14" t="s">
        <v>1</v>
      </c>
      <c r="G21" s="27"/>
      <c r="H21" s="27"/>
      <c r="I21" s="27"/>
      <c r="J21" s="27"/>
    </row>
    <row r="22" spans="3:10" x14ac:dyDescent="0.25">
      <c r="G22" s="27"/>
      <c r="H22" s="27"/>
      <c r="I22" s="27"/>
      <c r="J22" s="27"/>
    </row>
    <row r="23" spans="3:10" ht="15" x14ac:dyDescent="0.3">
      <c r="C23" s="14" t="s">
        <v>186</v>
      </c>
      <c r="D23" s="28">
        <f>900*D20</f>
        <v>9990</v>
      </c>
      <c r="E23" s="14" t="s">
        <v>3</v>
      </c>
    </row>
    <row r="24" spans="3:10" ht="15" x14ac:dyDescent="0.3">
      <c r="C24" s="14" t="s">
        <v>187</v>
      </c>
      <c r="D24" s="28">
        <f>100*D20</f>
        <v>1110</v>
      </c>
      <c r="E24" s="14" t="s">
        <v>3</v>
      </c>
    </row>
    <row r="25" spans="3:10" ht="15" x14ac:dyDescent="0.3">
      <c r="C25" s="14" t="s">
        <v>188</v>
      </c>
      <c r="D25" s="28">
        <f>(D23-D26*D27)/2</f>
        <v>4995</v>
      </c>
      <c r="E25" s="14" t="s">
        <v>3</v>
      </c>
    </row>
    <row r="26" spans="3:10" ht="15" x14ac:dyDescent="0.3">
      <c r="C26" s="14" t="s">
        <v>189</v>
      </c>
      <c r="D26" s="28">
        <f>25+D20</f>
        <v>36.1</v>
      </c>
      <c r="E26" s="14" t="s">
        <v>7</v>
      </c>
    </row>
    <row r="27" spans="3:10" x14ac:dyDescent="0.25">
      <c r="C27" s="14" t="s">
        <v>6</v>
      </c>
      <c r="D27" s="14">
        <f>(D5+D4)*2</f>
        <v>0</v>
      </c>
      <c r="E27" s="14" t="s">
        <v>8</v>
      </c>
    </row>
    <row r="28" spans="3:10" x14ac:dyDescent="0.25"/>
    <row r="29" spans="3:10" x14ac:dyDescent="0.25"/>
    <row r="30" spans="3:10" x14ac:dyDescent="0.25"/>
    <row r="31" spans="3:10" x14ac:dyDescent="0.25"/>
    <row r="32" spans="3:10" x14ac:dyDescent="0.25"/>
    <row r="33" spans="1:3" x14ac:dyDescent="0.25"/>
    <row r="34" spans="1:3" x14ac:dyDescent="0.25"/>
    <row r="35" spans="1:3" x14ac:dyDescent="0.25"/>
    <row r="36" spans="1:3" x14ac:dyDescent="0.25"/>
    <row r="37" spans="1:3" x14ac:dyDescent="0.25"/>
    <row r="38" spans="1:3" x14ac:dyDescent="0.25"/>
    <row r="39" spans="1:3" x14ac:dyDescent="0.25"/>
    <row r="40" spans="1:3" x14ac:dyDescent="0.25"/>
    <row r="41" spans="1:3" x14ac:dyDescent="0.25"/>
    <row r="42" spans="1:3" ht="18.75" thickBot="1" x14ac:dyDescent="0.3">
      <c r="A42" s="13" t="s">
        <v>220</v>
      </c>
    </row>
    <row r="43" spans="1:3" ht="16.5" thickBot="1" x14ac:dyDescent="0.3">
      <c r="A43" s="129" t="s">
        <v>137</v>
      </c>
      <c r="B43" s="129" t="s">
        <v>138</v>
      </c>
      <c r="C43" s="128" t="s">
        <v>139</v>
      </c>
    </row>
    <row r="44" spans="1:3" ht="5.0999999999999996" customHeight="1" x14ac:dyDescent="0.25">
      <c r="A44" s="152" t="s">
        <v>132</v>
      </c>
      <c r="C44" s="151"/>
    </row>
    <row r="45" spans="1:3" x14ac:dyDescent="0.25">
      <c r="A45" s="142" t="s">
        <v>276</v>
      </c>
      <c r="B45" s="143"/>
      <c r="C45" s="133">
        <f>ROUNDDOWN((D4/15),0)+ROUNDDOWN((D5/15),0)+ROUNDDOWN((D5/15),0)</f>
        <v>0</v>
      </c>
    </row>
    <row r="46" spans="1:3" x14ac:dyDescent="0.25">
      <c r="A46" s="142" t="s">
        <v>277</v>
      </c>
      <c r="B46" s="143"/>
      <c r="C46" s="133">
        <f>((D4+(D5*2))/7.5)-(C45*2)</f>
        <v>0</v>
      </c>
    </row>
    <row r="47" spans="1:3" x14ac:dyDescent="0.25">
      <c r="A47" s="142" t="s">
        <v>278</v>
      </c>
      <c r="B47" s="143"/>
      <c r="C47" s="133">
        <v>4</v>
      </c>
    </row>
    <row r="48" spans="1:3" x14ac:dyDescent="0.25">
      <c r="A48" s="142" t="s">
        <v>279</v>
      </c>
      <c r="B48" s="143"/>
      <c r="C48" s="133">
        <f>C45</f>
        <v>0</v>
      </c>
    </row>
    <row r="49" spans="1:3" x14ac:dyDescent="0.25">
      <c r="A49" s="142" t="s">
        <v>280</v>
      </c>
      <c r="B49" s="143"/>
      <c r="C49" s="133">
        <f>C46</f>
        <v>0</v>
      </c>
    </row>
    <row r="50" spans="1:3" x14ac:dyDescent="0.25">
      <c r="A50" s="142" t="s">
        <v>281</v>
      </c>
      <c r="B50" s="142" t="s">
        <v>301</v>
      </c>
      <c r="C50" s="133">
        <f>(ROUNDUP((((D4+15)/30)*A302),0))+(ROUNDUP(((D5*2)/30)*A302,0))+(ROUNDUP((((D4+15)/30)*C302),0))+3</f>
        <v>2</v>
      </c>
    </row>
    <row r="51" spans="1:3" x14ac:dyDescent="0.25">
      <c r="A51" s="196"/>
      <c r="B51" s="196"/>
      <c r="C51" s="197"/>
    </row>
    <row r="52" spans="1:3" x14ac:dyDescent="0.25">
      <c r="A52" s="145" t="s">
        <v>333</v>
      </c>
      <c r="B52" s="196"/>
      <c r="C52" s="197"/>
    </row>
    <row r="53" spans="1:3" x14ac:dyDescent="0.25">
      <c r="A53" s="142" t="s">
        <v>251</v>
      </c>
      <c r="B53" s="299" t="s">
        <v>272</v>
      </c>
      <c r="C53" s="144">
        <f>(VLOOKUP(B53,A166:C178,2,FALSE))*(VLOOKUP(B53,A166:C178,3,FALSE))</f>
        <v>1</v>
      </c>
    </row>
    <row r="54" spans="1:3" x14ac:dyDescent="0.25">
      <c r="A54" s="142" t="s">
        <v>251</v>
      </c>
      <c r="B54" s="300" t="s">
        <v>295</v>
      </c>
      <c r="C54" s="144">
        <f>(VLOOKUP(B54,A152:C164,2,FALSE))*(VLOOKUP(B54,A152:C164,3,FALSE))</f>
        <v>1</v>
      </c>
    </row>
    <row r="55" spans="1:3" x14ac:dyDescent="0.25">
      <c r="A55" s="143"/>
      <c r="B55" s="143"/>
      <c r="C55" s="123"/>
    </row>
    <row r="56" spans="1:3" x14ac:dyDescent="0.25">
      <c r="A56" s="145" t="s">
        <v>332</v>
      </c>
      <c r="B56" s="143"/>
      <c r="C56" s="123"/>
    </row>
    <row r="57" spans="1:3" x14ac:dyDescent="0.25">
      <c r="A57" s="142" t="str">
        <f>IF(B57="50/600/120","Nut &amp; Feder Stein",IF(B57="60/540/297","Quickboard 540",IF(B57="60/660/297","Quickboard 660",IF(B57="60/780/297","Quickboard 780","Schamotte Platte"))))</f>
        <v>Quickboard 780</v>
      </c>
      <c r="B57" s="299" t="s">
        <v>235</v>
      </c>
      <c r="C57" s="146">
        <f>(VLOOKUP(B57,B183:D194,2,FALSE))*(VLOOKUP(B57,B183:D194,3,FALSE))</f>
        <v>1</v>
      </c>
    </row>
    <row r="58" spans="1:3" x14ac:dyDescent="0.25">
      <c r="A58" s="142" t="s">
        <v>283</v>
      </c>
      <c r="B58" s="142" t="s">
        <v>224</v>
      </c>
      <c r="C58" s="144">
        <f>ROUNDUP((((D4+4)*(D5+4))/(60*90)),0)</f>
        <v>1</v>
      </c>
    </row>
    <row r="59" spans="1:3" x14ac:dyDescent="0.25"/>
    <row r="60" spans="1:3" hidden="1" x14ac:dyDescent="0.25"/>
    <row r="61" spans="1:3" hidden="1" x14ac:dyDescent="0.25"/>
    <row r="62" spans="1:3" hidden="1" x14ac:dyDescent="0.25"/>
    <row r="63" spans="1:3" hidden="1" x14ac:dyDescent="0.25"/>
    <row r="64" spans="1:3"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spans="1:4" hidden="1" x14ac:dyDescent="0.25"/>
    <row r="98" spans="1:4" hidden="1" x14ac:dyDescent="0.25"/>
    <row r="99" spans="1:4" hidden="1" x14ac:dyDescent="0.25"/>
    <row r="100" spans="1:4" hidden="1" x14ac:dyDescent="0.25"/>
    <row r="101" spans="1:4" ht="14.25" hidden="1" thickBot="1" x14ac:dyDescent="0.3">
      <c r="A101" s="147" t="s">
        <v>164</v>
      </c>
      <c r="B101" s="147" t="s">
        <v>138</v>
      </c>
      <c r="C101" s="90" t="s">
        <v>258</v>
      </c>
      <c r="D101" s="122" t="s">
        <v>260</v>
      </c>
    </row>
    <row r="102" spans="1:4" hidden="1" x14ac:dyDescent="0.25">
      <c r="A102" s="148" t="s">
        <v>165</v>
      </c>
      <c r="B102" s="91" t="s">
        <v>261</v>
      </c>
      <c r="C102" s="117">
        <f>ROUNDUP(D5/(MID(B102,4,3)/10),0)</f>
        <v>0</v>
      </c>
      <c r="D102" s="14">
        <f>ROUNDUP(D4/(RIGHT(B102,3)/10),0)</f>
        <v>0</v>
      </c>
    </row>
    <row r="103" spans="1:4" hidden="1" x14ac:dyDescent="0.25">
      <c r="A103" s="149" t="s">
        <v>166</v>
      </c>
      <c r="B103" s="91" t="s">
        <v>262</v>
      </c>
      <c r="C103" s="117">
        <f>ROUNDUP(D5/(MID(B103,4,3)/10),0)</f>
        <v>0</v>
      </c>
      <c r="D103" s="14">
        <f>ROUNDUP(D4/(RIGHT(B103,3)/10),0)</f>
        <v>0</v>
      </c>
    </row>
    <row r="104" spans="1:4" hidden="1" x14ac:dyDescent="0.25">
      <c r="A104" s="149" t="s">
        <v>167</v>
      </c>
      <c r="B104" s="91" t="s">
        <v>263</v>
      </c>
      <c r="C104" s="117">
        <f>ROUNDUP(D5/(MID(B104,4,3)/10),0)</f>
        <v>0</v>
      </c>
      <c r="D104" s="14">
        <f>ROUNDUP(D4/(RIGHT(B104,3)/10),0)</f>
        <v>0</v>
      </c>
    </row>
    <row r="105" spans="1:4" hidden="1" x14ac:dyDescent="0.25">
      <c r="A105" s="149" t="s">
        <v>168</v>
      </c>
      <c r="B105" s="91" t="s">
        <v>264</v>
      </c>
      <c r="C105" s="117">
        <f>ROUNDUP(D5/(MID(B105,4,3)/10),0)</f>
        <v>0</v>
      </c>
      <c r="D105" s="14">
        <f>ROUNDUP(D4/(RIGHT(B105,3)/10),0)</f>
        <v>0</v>
      </c>
    </row>
    <row r="106" spans="1:4" hidden="1" x14ac:dyDescent="0.25">
      <c r="A106" s="149" t="s">
        <v>169</v>
      </c>
      <c r="B106" s="91" t="s">
        <v>265</v>
      </c>
      <c r="C106" s="117">
        <f>ROUNDUP(D5/(MID(B106,4,3)/10),0)</f>
        <v>0</v>
      </c>
      <c r="D106" s="14">
        <f>ROUNDUP(D4/(RIGHT(B106,3)/10),0)</f>
        <v>0</v>
      </c>
    </row>
    <row r="107" spans="1:4" hidden="1" x14ac:dyDescent="0.25">
      <c r="A107" s="149" t="s">
        <v>170</v>
      </c>
      <c r="B107" s="91" t="s">
        <v>252</v>
      </c>
      <c r="C107" s="117">
        <f>ROUNDUP(D5/(MID(B107,4,3)/10),0)</f>
        <v>0</v>
      </c>
      <c r="D107" s="14">
        <f>ROUNDUP(D4/(RIGHT(B107,3)/10),0)</f>
        <v>0</v>
      </c>
    </row>
    <row r="108" spans="1:4" hidden="1" x14ac:dyDescent="0.25">
      <c r="A108" s="149" t="s">
        <v>171</v>
      </c>
      <c r="B108" s="91" t="s">
        <v>266</v>
      </c>
      <c r="C108" s="117">
        <f>ROUNDUP(D5/(MID(B108,4,3)/10),0)</f>
        <v>0</v>
      </c>
      <c r="D108" s="14">
        <f>ROUNDUP(D4/(RIGHT(B108,3)/10),0)</f>
        <v>0</v>
      </c>
    </row>
    <row r="109" spans="1:4" hidden="1" x14ac:dyDescent="0.25">
      <c r="A109" s="149" t="s">
        <v>172</v>
      </c>
      <c r="B109" s="91" t="s">
        <v>267</v>
      </c>
      <c r="C109" s="117">
        <f>ROUNDUP(D5/(MID(B109,4,3)/10),0)</f>
        <v>0</v>
      </c>
      <c r="D109" s="14">
        <f>ROUNDUP(D4/(RIGHT(B109,3)/10),0)</f>
        <v>0</v>
      </c>
    </row>
    <row r="110" spans="1:4" hidden="1" x14ac:dyDescent="0.25">
      <c r="A110" s="149" t="s">
        <v>151</v>
      </c>
      <c r="B110" s="91" t="s">
        <v>268</v>
      </c>
      <c r="C110" s="117">
        <f>ROUNDUP(D5/(MID(B110,4,3)/10),0)</f>
        <v>0</v>
      </c>
      <c r="D110" s="14">
        <f>ROUNDUP(D4/(RIGHT(B110,3)/10),0)</f>
        <v>0</v>
      </c>
    </row>
    <row r="111" spans="1:4" hidden="1" x14ac:dyDescent="0.25">
      <c r="A111" s="149" t="s">
        <v>173</v>
      </c>
      <c r="B111" s="91" t="s">
        <v>269</v>
      </c>
      <c r="C111" s="117">
        <f>ROUNDUP(D5/(MID(B111,4,3)/10),0)</f>
        <v>0</v>
      </c>
      <c r="D111" s="14">
        <f>ROUNDUP(D4/(RIGHT(B111,3)/10),0)</f>
        <v>0</v>
      </c>
    </row>
    <row r="112" spans="1:4" hidden="1" x14ac:dyDescent="0.25">
      <c r="A112" s="149" t="s">
        <v>174</v>
      </c>
      <c r="B112" s="91" t="s">
        <v>270</v>
      </c>
      <c r="C112" s="117">
        <f>ROUNDUP(D5/(MID(B112,4,3)/10),0)</f>
        <v>0</v>
      </c>
      <c r="D112" s="14">
        <f>ROUNDUP(D4/(RIGHT(B112,3)/10),0)</f>
        <v>0</v>
      </c>
    </row>
    <row r="113" spans="1:4" hidden="1" x14ac:dyDescent="0.25">
      <c r="A113" s="149" t="s">
        <v>175</v>
      </c>
      <c r="B113" s="91" t="s">
        <v>271</v>
      </c>
      <c r="C113" s="117">
        <f>ROUNDUP(D5/(MID(B113,4,3)/10),0)</f>
        <v>0</v>
      </c>
      <c r="D113" s="14">
        <f>ROUNDUP(D4/(RIGHT(B113,3)/10),0)</f>
        <v>0</v>
      </c>
    </row>
    <row r="114" spans="1:4" hidden="1" x14ac:dyDescent="0.25">
      <c r="A114" s="149" t="s">
        <v>176</v>
      </c>
      <c r="B114" s="91" t="s">
        <v>272</v>
      </c>
      <c r="C114" s="117">
        <f>ROUNDUP(D5/(MID(B114,4,3)/10),0)</f>
        <v>0</v>
      </c>
      <c r="D114" s="14">
        <f>ROUNDUP(D4/(RIGHT(B114,3)/10),0)</f>
        <v>0</v>
      </c>
    </row>
    <row r="115" spans="1:4" hidden="1" x14ac:dyDescent="0.25"/>
    <row r="116" spans="1:4" hidden="1" x14ac:dyDescent="0.25"/>
    <row r="117" spans="1:4" hidden="1" x14ac:dyDescent="0.25"/>
    <row r="118" spans="1:4" hidden="1" x14ac:dyDescent="0.25"/>
    <row r="119" spans="1:4" hidden="1" x14ac:dyDescent="0.25"/>
    <row r="120" spans="1:4" ht="14.25" hidden="1" thickBot="1" x14ac:dyDescent="0.3">
      <c r="A120" s="147" t="s">
        <v>152</v>
      </c>
      <c r="B120" s="147" t="s">
        <v>138</v>
      </c>
      <c r="C120" s="122" t="s">
        <v>259</v>
      </c>
      <c r="D120" s="122" t="s">
        <v>273</v>
      </c>
    </row>
    <row r="121" spans="1:4" hidden="1" x14ac:dyDescent="0.25">
      <c r="A121" s="149" t="s">
        <v>161</v>
      </c>
      <c r="B121" s="91" t="s">
        <v>233</v>
      </c>
      <c r="C121" s="117">
        <f>ROUNDUP((D4+24)/(MID(B121,4,3)/10),0)</f>
        <v>1</v>
      </c>
      <c r="D121" s="117">
        <f>ROUNDUP(((D5+24)/(RIGHT(B121,3)/10)),0)</f>
        <v>1</v>
      </c>
    </row>
    <row r="122" spans="1:4" hidden="1" x14ac:dyDescent="0.25">
      <c r="A122" s="149" t="s">
        <v>162</v>
      </c>
      <c r="B122" s="91" t="s">
        <v>234</v>
      </c>
      <c r="C122" s="117">
        <f>ROUNDUP((D4+24)/(MID(B122,4,3)/10),0)</f>
        <v>1</v>
      </c>
      <c r="D122" s="117">
        <f>ROUNDUP(((D5+24)/(RIGHT(B122,3)/10)),0)</f>
        <v>1</v>
      </c>
    </row>
    <row r="123" spans="1:4" hidden="1" x14ac:dyDescent="0.25">
      <c r="A123" s="149" t="s">
        <v>163</v>
      </c>
      <c r="B123" s="135" t="s">
        <v>235</v>
      </c>
      <c r="C123" s="117">
        <f>ROUNDUP((D4+24)/(MID(B123,4,3)/10),0)</f>
        <v>1</v>
      </c>
      <c r="D123" s="117">
        <f>ROUNDUP(((D5+24)/(RIGHT(B123,3)/10)),0)</f>
        <v>1</v>
      </c>
    </row>
    <row r="124" spans="1:4" x14ac:dyDescent="0.25">
      <c r="A124" s="150" t="s">
        <v>302</v>
      </c>
      <c r="B124" s="301" t="s">
        <v>284</v>
      </c>
    </row>
    <row r="125" spans="1:4" x14ac:dyDescent="0.25">
      <c r="A125" s="142" t="s">
        <v>285</v>
      </c>
      <c r="B125" s="18" t="s">
        <v>286</v>
      </c>
      <c r="C125" s="17">
        <f>IF(B124="JA",(ROUNDUP(((((D5+5.5+7.5)*2)+((D4+7.5+7.5)*2))/30),0)),0)</f>
        <v>2</v>
      </c>
    </row>
    <row r="126" spans="1:4" ht="14.25" thickBot="1" x14ac:dyDescent="0.3"/>
    <row r="127" spans="1:4" ht="16.5" customHeight="1" thickBot="1" x14ac:dyDescent="0.3">
      <c r="A127" s="302" t="str">
        <f>Berechnung!J3</f>
        <v>Bauweise ohne Luftspalt</v>
      </c>
    </row>
    <row r="128" spans="1:4" x14ac:dyDescent="0.25">
      <c r="A128" s="142" t="s">
        <v>281</v>
      </c>
      <c r="B128" s="299" t="s">
        <v>393</v>
      </c>
      <c r="C128" s="133">
        <f>IF(A127="Bauweise ohne Luftspalt",0,((ROUNDUP(((D4+15+11)/30),0)*ROUNDUP(((D10+3+3+6+14)/15),0))+(ROUNDUP((((D5+7.5+5.5)/30)),0)*2*(ROUNDUP(((D10+3+3+6+14)/15),0)))))</f>
        <v>0</v>
      </c>
    </row>
    <row r="129" spans="1:1" x14ac:dyDescent="0.25"/>
    <row r="130" spans="1:1" hidden="1" x14ac:dyDescent="0.25"/>
    <row r="131" spans="1:1" hidden="1" x14ac:dyDescent="0.25"/>
    <row r="132" spans="1:1" hidden="1" x14ac:dyDescent="0.25"/>
    <row r="133" spans="1:1" hidden="1" x14ac:dyDescent="0.25"/>
    <row r="134" spans="1:1" hidden="1" x14ac:dyDescent="0.25"/>
    <row r="135" spans="1:1" hidden="1" x14ac:dyDescent="0.25"/>
    <row r="136" spans="1:1" hidden="1" x14ac:dyDescent="0.25"/>
    <row r="137" spans="1:1" hidden="1" x14ac:dyDescent="0.25"/>
    <row r="138" spans="1:1" hidden="1" x14ac:dyDescent="0.25"/>
    <row r="139" spans="1:1" hidden="1" x14ac:dyDescent="0.25"/>
    <row r="140" spans="1:1" hidden="1" x14ac:dyDescent="0.25"/>
    <row r="141" spans="1:1" hidden="1" x14ac:dyDescent="0.25"/>
    <row r="142" spans="1:1" hidden="1" x14ac:dyDescent="0.25"/>
    <row r="143" spans="1:1" hidden="1" x14ac:dyDescent="0.25"/>
    <row r="144" spans="1:1" hidden="1" x14ac:dyDescent="0.25">
      <c r="A144" s="14" t="s">
        <v>393</v>
      </c>
    </row>
    <row r="145" spans="1:3" hidden="1" x14ac:dyDescent="0.25">
      <c r="A145" s="14" t="s">
        <v>301</v>
      </c>
    </row>
    <row r="146" spans="1:3" hidden="1" x14ac:dyDescent="0.25"/>
    <row r="147" spans="1:3" hidden="1" x14ac:dyDescent="0.25"/>
    <row r="148" spans="1:3" hidden="1" x14ac:dyDescent="0.25"/>
    <row r="149" spans="1:3" hidden="1" x14ac:dyDescent="0.25"/>
    <row r="150" spans="1:3" ht="14.25" hidden="1" thickBot="1" x14ac:dyDescent="0.3"/>
    <row r="151" spans="1:3" ht="14.25" hidden="1" thickBot="1" x14ac:dyDescent="0.3">
      <c r="A151" s="139" t="s">
        <v>299</v>
      </c>
      <c r="B151" s="141" t="s">
        <v>258</v>
      </c>
      <c r="C151" s="141" t="s">
        <v>259</v>
      </c>
    </row>
    <row r="152" spans="1:3" hidden="1" x14ac:dyDescent="0.25">
      <c r="A152" s="131" t="s">
        <v>287</v>
      </c>
      <c r="B152" s="17">
        <f t="shared" ref="B152:B164" si="0">ROUNDUP(($D$5-4)/((MID(A152,4,3))/10),0)</f>
        <v>-1</v>
      </c>
      <c r="C152" s="17">
        <f t="shared" ref="C152:C164" si="1">ROUNDUP(($D$4-8)/((RIGHT(A152,3))/10),0)</f>
        <v>-1</v>
      </c>
    </row>
    <row r="153" spans="1:3" hidden="1" x14ac:dyDescent="0.25">
      <c r="A153" s="130" t="s">
        <v>297</v>
      </c>
      <c r="B153" s="17">
        <f t="shared" si="0"/>
        <v>-1</v>
      </c>
      <c r="C153" s="17">
        <f t="shared" si="1"/>
        <v>-1</v>
      </c>
    </row>
    <row r="154" spans="1:3" hidden="1" x14ac:dyDescent="0.25">
      <c r="A154" s="130" t="s">
        <v>288</v>
      </c>
      <c r="B154" s="17">
        <f t="shared" si="0"/>
        <v>-1</v>
      </c>
      <c r="C154" s="17">
        <f t="shared" si="1"/>
        <v>-1</v>
      </c>
    </row>
    <row r="155" spans="1:3" hidden="1" x14ac:dyDescent="0.25">
      <c r="A155" s="130" t="s">
        <v>289</v>
      </c>
      <c r="B155" s="17">
        <f t="shared" si="0"/>
        <v>-1</v>
      </c>
      <c r="C155" s="17">
        <f t="shared" si="1"/>
        <v>-1</v>
      </c>
    </row>
    <row r="156" spans="1:3" hidden="1" x14ac:dyDescent="0.25">
      <c r="A156" s="130" t="s">
        <v>290</v>
      </c>
      <c r="B156" s="17">
        <f t="shared" si="0"/>
        <v>-1</v>
      </c>
      <c r="C156" s="17">
        <f t="shared" si="1"/>
        <v>-1</v>
      </c>
    </row>
    <row r="157" spans="1:3" hidden="1" x14ac:dyDescent="0.25">
      <c r="A157" s="130" t="s">
        <v>291</v>
      </c>
      <c r="B157" s="17">
        <f t="shared" si="0"/>
        <v>-1</v>
      </c>
      <c r="C157" s="17">
        <f t="shared" si="1"/>
        <v>-1</v>
      </c>
    </row>
    <row r="158" spans="1:3" hidden="1" x14ac:dyDescent="0.25">
      <c r="A158" s="130" t="s">
        <v>292</v>
      </c>
      <c r="B158" s="17">
        <f t="shared" si="0"/>
        <v>-1</v>
      </c>
      <c r="C158" s="17">
        <f t="shared" si="1"/>
        <v>-1</v>
      </c>
    </row>
    <row r="159" spans="1:3" hidden="1" x14ac:dyDescent="0.25">
      <c r="A159" s="130" t="s">
        <v>298</v>
      </c>
      <c r="B159" s="17">
        <f t="shared" si="0"/>
        <v>-1</v>
      </c>
      <c r="C159" s="17">
        <f t="shared" si="1"/>
        <v>-1</v>
      </c>
    </row>
    <row r="160" spans="1:3" hidden="1" x14ac:dyDescent="0.25">
      <c r="A160" s="130" t="s">
        <v>293</v>
      </c>
      <c r="B160" s="17">
        <f t="shared" si="0"/>
        <v>-1</v>
      </c>
      <c r="C160" s="17">
        <f t="shared" si="1"/>
        <v>-1</v>
      </c>
    </row>
    <row r="161" spans="1:3" hidden="1" x14ac:dyDescent="0.25">
      <c r="A161" s="130" t="s">
        <v>282</v>
      </c>
      <c r="B161" s="17">
        <f t="shared" si="0"/>
        <v>-1</v>
      </c>
      <c r="C161" s="17">
        <f t="shared" si="1"/>
        <v>-1</v>
      </c>
    </row>
    <row r="162" spans="1:3" hidden="1" x14ac:dyDescent="0.25">
      <c r="A162" s="130" t="s">
        <v>294</v>
      </c>
      <c r="B162" s="17">
        <f t="shared" si="0"/>
        <v>-1</v>
      </c>
      <c r="C162" s="17">
        <f t="shared" si="1"/>
        <v>-1</v>
      </c>
    </row>
    <row r="163" spans="1:3" hidden="1" x14ac:dyDescent="0.25">
      <c r="A163" s="130" t="s">
        <v>295</v>
      </c>
      <c r="B163" s="17">
        <f t="shared" si="0"/>
        <v>-1</v>
      </c>
      <c r="C163" s="17">
        <f t="shared" si="1"/>
        <v>-1</v>
      </c>
    </row>
    <row r="164" spans="1:3" hidden="1" x14ac:dyDescent="0.25">
      <c r="A164" s="130" t="s">
        <v>296</v>
      </c>
      <c r="B164" s="17">
        <f t="shared" si="0"/>
        <v>-1</v>
      </c>
      <c r="C164" s="17">
        <f t="shared" si="1"/>
        <v>-1</v>
      </c>
    </row>
    <row r="165" spans="1:3" hidden="1" x14ac:dyDescent="0.25"/>
    <row r="166" spans="1:3" hidden="1" x14ac:dyDescent="0.25">
      <c r="A166" s="130" t="s">
        <v>261</v>
      </c>
      <c r="B166" s="17">
        <f t="shared" ref="B166:B178" si="2">ROUNDUP(($D$5-4)/((RIGHT(A166,3))/10),0)</f>
        <v>-1</v>
      </c>
      <c r="C166" s="17">
        <f t="shared" ref="C166:C178" si="3">ROUNDUP(($D$4-8)/((MID(A166,4,3))/10),0)</f>
        <v>-1</v>
      </c>
    </row>
    <row r="167" spans="1:3" hidden="1" x14ac:dyDescent="0.25">
      <c r="A167" s="130" t="s">
        <v>262</v>
      </c>
      <c r="B167" s="17">
        <f t="shared" si="2"/>
        <v>-1</v>
      </c>
      <c r="C167" s="17">
        <f t="shared" si="3"/>
        <v>-1</v>
      </c>
    </row>
    <row r="168" spans="1:3" hidden="1" x14ac:dyDescent="0.25">
      <c r="A168" s="130" t="s">
        <v>263</v>
      </c>
      <c r="B168" s="17">
        <f t="shared" si="2"/>
        <v>-1</v>
      </c>
      <c r="C168" s="17">
        <f t="shared" si="3"/>
        <v>-1</v>
      </c>
    </row>
    <row r="169" spans="1:3" hidden="1" x14ac:dyDescent="0.25">
      <c r="A169" s="130" t="s">
        <v>264</v>
      </c>
      <c r="B169" s="17">
        <f t="shared" si="2"/>
        <v>-1</v>
      </c>
      <c r="C169" s="17">
        <f t="shared" si="3"/>
        <v>-1</v>
      </c>
    </row>
    <row r="170" spans="1:3" hidden="1" x14ac:dyDescent="0.25">
      <c r="A170" s="130" t="s">
        <v>265</v>
      </c>
      <c r="B170" s="17">
        <f t="shared" si="2"/>
        <v>-1</v>
      </c>
      <c r="C170" s="17">
        <f t="shared" si="3"/>
        <v>-1</v>
      </c>
    </row>
    <row r="171" spans="1:3" hidden="1" x14ac:dyDescent="0.25">
      <c r="A171" s="130" t="s">
        <v>252</v>
      </c>
      <c r="B171" s="17">
        <f t="shared" si="2"/>
        <v>-1</v>
      </c>
      <c r="C171" s="17">
        <f t="shared" si="3"/>
        <v>-1</v>
      </c>
    </row>
    <row r="172" spans="1:3" hidden="1" x14ac:dyDescent="0.25">
      <c r="A172" s="130" t="s">
        <v>266</v>
      </c>
      <c r="B172" s="17">
        <f t="shared" si="2"/>
        <v>-1</v>
      </c>
      <c r="C172" s="17">
        <f t="shared" si="3"/>
        <v>-1</v>
      </c>
    </row>
    <row r="173" spans="1:3" hidden="1" x14ac:dyDescent="0.25">
      <c r="A173" s="130" t="s">
        <v>267</v>
      </c>
      <c r="B173" s="17">
        <f t="shared" si="2"/>
        <v>-1</v>
      </c>
      <c r="C173" s="17">
        <f t="shared" si="3"/>
        <v>-1</v>
      </c>
    </row>
    <row r="174" spans="1:3" hidden="1" x14ac:dyDescent="0.25">
      <c r="A174" s="130" t="s">
        <v>268</v>
      </c>
      <c r="B174" s="17">
        <f t="shared" si="2"/>
        <v>-1</v>
      </c>
      <c r="C174" s="17">
        <f t="shared" si="3"/>
        <v>-1</v>
      </c>
    </row>
    <row r="175" spans="1:3" hidden="1" x14ac:dyDescent="0.25">
      <c r="A175" s="130" t="s">
        <v>269</v>
      </c>
      <c r="B175" s="17">
        <f t="shared" si="2"/>
        <v>-1</v>
      </c>
      <c r="C175" s="17">
        <f t="shared" si="3"/>
        <v>-1</v>
      </c>
    </row>
    <row r="176" spans="1:3" hidden="1" x14ac:dyDescent="0.25">
      <c r="A176" s="130" t="s">
        <v>270</v>
      </c>
      <c r="B176" s="17">
        <f t="shared" si="2"/>
        <v>-1</v>
      </c>
      <c r="C176" s="17">
        <f t="shared" si="3"/>
        <v>-1</v>
      </c>
    </row>
    <row r="177" spans="1:4" hidden="1" x14ac:dyDescent="0.25">
      <c r="A177" s="130" t="s">
        <v>271</v>
      </c>
      <c r="B177" s="17">
        <f t="shared" si="2"/>
        <v>-1</v>
      </c>
      <c r="C177" s="17">
        <f t="shared" si="3"/>
        <v>-1</v>
      </c>
    </row>
    <row r="178" spans="1:4" hidden="1" x14ac:dyDescent="0.25">
      <c r="A178" s="130" t="s">
        <v>272</v>
      </c>
      <c r="B178" s="17">
        <f t="shared" si="2"/>
        <v>-1</v>
      </c>
      <c r="C178" s="17">
        <f t="shared" si="3"/>
        <v>-1</v>
      </c>
    </row>
    <row r="179" spans="1:4" hidden="1" x14ac:dyDescent="0.25"/>
    <row r="180" spans="1:4" hidden="1" x14ac:dyDescent="0.25"/>
    <row r="181" spans="1:4" ht="14.25" hidden="1" thickBot="1" x14ac:dyDescent="0.3"/>
    <row r="182" spans="1:4" ht="14.25" hidden="1" thickBot="1" x14ac:dyDescent="0.3">
      <c r="A182" s="140" t="s">
        <v>152</v>
      </c>
      <c r="B182" s="140" t="s">
        <v>138</v>
      </c>
      <c r="C182" s="139" t="s">
        <v>259</v>
      </c>
      <c r="D182" s="139" t="s">
        <v>258</v>
      </c>
    </row>
    <row r="183" spans="1:4" hidden="1" x14ac:dyDescent="0.25">
      <c r="A183" s="104" t="s">
        <v>153</v>
      </c>
      <c r="B183" s="96" t="s">
        <v>225</v>
      </c>
      <c r="C183" s="91">
        <f t="shared" ref="C183:C194" si="4">ROUNDUP(($D$4+15)/((MID(B183,4,3))/10),0)</f>
        <v>1</v>
      </c>
      <c r="D183" s="91">
        <f t="shared" ref="D183:D194" si="5">ROUNDUP((($D$5+5.5+7.5)/(RIGHT(B183,3)/10)),0)</f>
        <v>1</v>
      </c>
    </row>
    <row r="184" spans="1:4" hidden="1" x14ac:dyDescent="0.25">
      <c r="A184" s="105" t="s">
        <v>154</v>
      </c>
      <c r="B184" s="96" t="s">
        <v>226</v>
      </c>
      <c r="C184" s="91">
        <f t="shared" si="4"/>
        <v>1</v>
      </c>
      <c r="D184" s="91">
        <f t="shared" si="5"/>
        <v>1</v>
      </c>
    </row>
    <row r="185" spans="1:4" hidden="1" x14ac:dyDescent="0.25">
      <c r="A185" s="105" t="s">
        <v>155</v>
      </c>
      <c r="B185" s="96" t="s">
        <v>227</v>
      </c>
      <c r="C185" s="91">
        <f t="shared" si="4"/>
        <v>1</v>
      </c>
      <c r="D185" s="91">
        <f t="shared" si="5"/>
        <v>1</v>
      </c>
    </row>
    <row r="186" spans="1:4" hidden="1" x14ac:dyDescent="0.25">
      <c r="A186" s="105" t="s">
        <v>156</v>
      </c>
      <c r="B186" s="96" t="s">
        <v>228</v>
      </c>
      <c r="C186" s="91">
        <f t="shared" si="4"/>
        <v>1</v>
      </c>
      <c r="D186" s="91">
        <f t="shared" si="5"/>
        <v>2</v>
      </c>
    </row>
    <row r="187" spans="1:4" hidden="1" x14ac:dyDescent="0.25">
      <c r="A187" s="105" t="s">
        <v>149</v>
      </c>
      <c r="B187" s="96" t="s">
        <v>228</v>
      </c>
      <c r="C187" s="91">
        <f t="shared" si="4"/>
        <v>1</v>
      </c>
      <c r="D187" s="91">
        <f t="shared" si="5"/>
        <v>2</v>
      </c>
    </row>
    <row r="188" spans="1:4" hidden="1" x14ac:dyDescent="0.25">
      <c r="A188" s="105" t="s">
        <v>157</v>
      </c>
      <c r="B188" s="96" t="s">
        <v>229</v>
      </c>
      <c r="C188" s="91">
        <f t="shared" si="4"/>
        <v>1</v>
      </c>
      <c r="D188" s="91">
        <f t="shared" si="5"/>
        <v>1</v>
      </c>
    </row>
    <row r="189" spans="1:4" hidden="1" x14ac:dyDescent="0.25">
      <c r="A189" s="105" t="s">
        <v>158</v>
      </c>
      <c r="B189" s="96" t="s">
        <v>230</v>
      </c>
      <c r="C189" s="91">
        <f t="shared" si="4"/>
        <v>1</v>
      </c>
      <c r="D189" s="91">
        <f t="shared" si="5"/>
        <v>1</v>
      </c>
    </row>
    <row r="190" spans="1:4" hidden="1" x14ac:dyDescent="0.25">
      <c r="A190" s="105" t="s">
        <v>159</v>
      </c>
      <c r="B190" s="96" t="s">
        <v>231</v>
      </c>
      <c r="C190" s="91">
        <f t="shared" si="4"/>
        <v>1</v>
      </c>
      <c r="D190" s="91">
        <f t="shared" si="5"/>
        <v>1</v>
      </c>
    </row>
    <row r="191" spans="1:4" hidden="1" x14ac:dyDescent="0.25">
      <c r="A191" s="105" t="s">
        <v>160</v>
      </c>
      <c r="B191" s="96" t="s">
        <v>232</v>
      </c>
      <c r="C191" s="91">
        <f t="shared" si="4"/>
        <v>1</v>
      </c>
      <c r="D191" s="91">
        <f t="shared" si="5"/>
        <v>1</v>
      </c>
    </row>
    <row r="192" spans="1:4" hidden="1" x14ac:dyDescent="0.25">
      <c r="A192" s="105" t="s">
        <v>161</v>
      </c>
      <c r="B192" s="96" t="s">
        <v>233</v>
      </c>
      <c r="C192" s="91">
        <f t="shared" si="4"/>
        <v>1</v>
      </c>
      <c r="D192" s="91">
        <f t="shared" si="5"/>
        <v>1</v>
      </c>
    </row>
    <row r="193" spans="1:4" hidden="1" x14ac:dyDescent="0.25">
      <c r="A193" s="105" t="s">
        <v>162</v>
      </c>
      <c r="B193" s="96" t="s">
        <v>234</v>
      </c>
      <c r="C193" s="91">
        <f t="shared" si="4"/>
        <v>1</v>
      </c>
      <c r="D193" s="91">
        <f t="shared" si="5"/>
        <v>1</v>
      </c>
    </row>
    <row r="194" spans="1:4" hidden="1" x14ac:dyDescent="0.25">
      <c r="A194" s="105" t="s">
        <v>163</v>
      </c>
      <c r="B194" s="96" t="s">
        <v>235</v>
      </c>
      <c r="C194" s="91">
        <f t="shared" si="4"/>
        <v>1</v>
      </c>
      <c r="D194" s="91">
        <f t="shared" si="5"/>
        <v>1</v>
      </c>
    </row>
    <row r="195" spans="1:4" hidden="1" x14ac:dyDescent="0.25"/>
    <row r="196" spans="1:4" hidden="1" x14ac:dyDescent="0.25"/>
    <row r="197" spans="1:4" hidden="1" x14ac:dyDescent="0.25"/>
    <row r="198" spans="1:4" hidden="1" x14ac:dyDescent="0.25"/>
    <row r="199" spans="1:4" hidden="1" x14ac:dyDescent="0.25"/>
    <row r="200" spans="1:4" hidden="1" x14ac:dyDescent="0.25"/>
    <row r="201" spans="1:4" hidden="1" x14ac:dyDescent="0.25"/>
    <row r="202" spans="1:4" hidden="1" x14ac:dyDescent="0.25"/>
    <row r="203" spans="1:4" hidden="1" x14ac:dyDescent="0.25"/>
    <row r="204" spans="1:4" hidden="1" x14ac:dyDescent="0.25"/>
    <row r="205" spans="1:4" hidden="1" x14ac:dyDescent="0.25"/>
    <row r="206" spans="1:4" hidden="1" x14ac:dyDescent="0.25"/>
    <row r="207" spans="1:4" hidden="1" x14ac:dyDescent="0.25"/>
    <row r="208" spans="1:4"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spans="1:3" hidden="1" x14ac:dyDescent="0.25"/>
    <row r="290" spans="1:3" hidden="1" x14ac:dyDescent="0.25"/>
    <row r="291" spans="1:3" hidden="1" x14ac:dyDescent="0.25"/>
    <row r="292" spans="1:3" hidden="1" x14ac:dyDescent="0.25"/>
    <row r="293" spans="1:3" hidden="1" x14ac:dyDescent="0.25"/>
    <row r="294" spans="1:3" hidden="1" x14ac:dyDescent="0.25"/>
    <row r="295" spans="1:3" hidden="1" x14ac:dyDescent="0.25"/>
    <row r="296" spans="1:3" hidden="1" x14ac:dyDescent="0.25"/>
    <row r="297" spans="1:3" hidden="1" x14ac:dyDescent="0.25"/>
    <row r="298" spans="1:3" hidden="1" x14ac:dyDescent="0.25"/>
    <row r="299" spans="1:3" hidden="1" x14ac:dyDescent="0.25"/>
    <row r="300" spans="1:3" hidden="1" x14ac:dyDescent="0.25"/>
    <row r="301" spans="1:3" ht="14.25" hidden="1" thickBot="1" x14ac:dyDescent="0.3">
      <c r="A301" s="14" t="s">
        <v>303</v>
      </c>
      <c r="C301" s="24" t="s">
        <v>304</v>
      </c>
    </row>
    <row r="302" spans="1:3" ht="14.25" hidden="1" thickBot="1" x14ac:dyDescent="0.3">
      <c r="A302" s="122">
        <f>IF(B124="JA",(ROUNDUP((((D10-36)-7.5)/15),0)),IF(B124="NEIN",(ROUNDUP(((D10-36)/15),0)),""))</f>
        <v>-3</v>
      </c>
      <c r="C302" s="122">
        <f>IF(B124="JA",(ROUNDUP((((D10+26)-7.5)/15),0)),IF(B124="NEIN",(ROUNDUP(((D10+26)/15),0)),""))</f>
        <v>2</v>
      </c>
    </row>
    <row r="303" spans="1:3" hidden="1" x14ac:dyDescent="0.25"/>
    <row r="304" spans="1:3"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spans="1:2" hidden="1" x14ac:dyDescent="0.25"/>
    <row r="994" spans="1:2" hidden="1" x14ac:dyDescent="0.25"/>
    <row r="995" spans="1:2" hidden="1" x14ac:dyDescent="0.25"/>
    <row r="996" spans="1:2" hidden="1" x14ac:dyDescent="0.25"/>
    <row r="997" spans="1:2" hidden="1" x14ac:dyDescent="0.25"/>
    <row r="998" spans="1:2" hidden="1" x14ac:dyDescent="0.25"/>
    <row r="999" spans="1:2" hidden="1" x14ac:dyDescent="0.25"/>
    <row r="1000" spans="1:2" hidden="1" x14ac:dyDescent="0.25"/>
    <row r="1001" spans="1:2" hidden="1" x14ac:dyDescent="0.25"/>
    <row r="1002" spans="1:2" hidden="1" x14ac:dyDescent="0.25">
      <c r="A1002" s="14" t="s">
        <v>284</v>
      </c>
      <c r="B1002" s="14" t="s">
        <v>300</v>
      </c>
    </row>
  </sheetData>
  <mergeCells count="3">
    <mergeCell ref="G7:J7"/>
    <mergeCell ref="G10:J10"/>
    <mergeCell ref="G13:J13"/>
  </mergeCells>
  <phoneticPr fontId="0" type="noConversion"/>
  <conditionalFormatting sqref="G7:J7">
    <cfRule type="cellIs" dxfId="1" priority="1" stopIfTrue="1" operator="equal">
      <formula>"Fläche in Ordnung"</formula>
    </cfRule>
  </conditionalFormatting>
  <conditionalFormatting sqref="G10:J10">
    <cfRule type="cellIs" dxfId="0" priority="2" stopIfTrue="1" operator="equal">
      <formula>"Brennraumhöhe in Ordnung"</formula>
    </cfRule>
  </conditionalFormatting>
  <dataValidations disablePrompts="1" xWindow="247" yWindow="533" count="8">
    <dataValidation type="custom" allowBlank="1" showInputMessage="1" showErrorMessage="1" sqref="D13:D19">
      <formula1>"B"</formula1>
    </dataValidation>
    <dataValidation type="list" allowBlank="1" showInputMessage="1" showErrorMessage="1" sqref="D4:D5">
      <formula1>$X$2:$X$10</formula1>
    </dataValidation>
    <dataValidation type="list" allowBlank="1" showInputMessage="1" showErrorMessage="1" promptTitle="Bodenplatte :" prompt="Format wählen !" sqref="B53">
      <formula1>$A$166:$A$178</formula1>
    </dataValidation>
    <dataValidation type="list" allowBlank="1" showInputMessage="1" showErrorMessage="1" error=" " promptTitle="Bodenplatte :" prompt="Format wählen !" sqref="B54">
      <formula1>$A$152:$A$164</formula1>
    </dataValidation>
    <dataValidation type="list" errorStyle="warning" allowBlank="1" showInputMessage="1" showErrorMessage="1" errorTitle="Fehler 001" error="Diese Abmessungen sind nicht in der Produktpalette enthalten !" promptTitle="Brennraumabdeckung wählen :" prompt="Abmessung auswählen !" sqref="B57">
      <formula1>$B$183:$B$194</formula1>
    </dataValidation>
    <dataValidation type="list" allowBlank="1" showInputMessage="1" showErrorMessage="1" errorTitle="Achtung !" error="JA oder NEIN eingeben !" promptTitle="Abfrage :" prompt="JA oder NEIN wählen !" sqref="B124">
      <formula1>$A$1002:$B$1002</formula1>
    </dataValidation>
    <dataValidation type="decimal" allowBlank="1" showInputMessage="1" showErrorMessage="1" errorTitle="Achtung !" error="Nur Werte zwischen 36 und 150 cm erlaubt !" sqref="D10">
      <formula1>36</formula1>
      <formula2>150</formula2>
    </dataValidation>
    <dataValidation type="list" allowBlank="1" showInputMessage="1" showErrorMessage="1" sqref="B128">
      <formula1>$A$144:$A$145</formula1>
    </dataValidation>
  </dataValidations>
  <printOptions horizontalCentered="1"/>
  <pageMargins left="0.59055118110236227" right="0.59055118110236227" top="0.78740157480314965" bottom="0.78740157480314965" header="0.51181102362204722" footer="0.51181102362204722"/>
  <pageSetup paperSize="9" scale="83" orientation="portrait" r:id="rId1"/>
  <headerFooter alignWithMargins="0"/>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W29"/>
  <sheetViews>
    <sheetView workbookViewId="0">
      <selection activeCell="B37" sqref="B37"/>
    </sheetView>
  </sheetViews>
  <sheetFormatPr baseColWidth="10" defaultRowHeight="13.5" x14ac:dyDescent="0.25"/>
  <cols>
    <col min="1" max="1" width="50.42578125" style="14" customWidth="1"/>
    <col min="2" max="2" width="40" style="14" customWidth="1"/>
    <col min="3" max="3" width="25.85546875" style="14" customWidth="1"/>
    <col min="4" max="4" width="31" style="14" customWidth="1"/>
    <col min="5" max="5" width="24.42578125" style="14" bestFit="1" customWidth="1"/>
    <col min="6" max="6" width="24.42578125" style="14" customWidth="1"/>
    <col min="7" max="7" width="32" style="14" bestFit="1" customWidth="1"/>
    <col min="8" max="10" width="24.42578125" style="14" customWidth="1"/>
    <col min="11" max="11" width="35.28515625" style="14" customWidth="1"/>
    <col min="12" max="12" width="32.5703125" style="14" customWidth="1"/>
    <col min="13" max="14" width="26.42578125" style="14" customWidth="1"/>
    <col min="15" max="15" width="50.5703125" style="14" customWidth="1"/>
    <col min="16" max="16" width="47.7109375" style="14" customWidth="1"/>
    <col min="17" max="17" width="67" style="14" customWidth="1"/>
    <col min="18" max="18" width="12.140625" style="14" bestFit="1" customWidth="1"/>
    <col min="19" max="19" width="26.42578125" style="14" bestFit="1" customWidth="1"/>
    <col min="20" max="20" width="22.28515625" style="14" bestFit="1" customWidth="1"/>
    <col min="21" max="22" width="19.5703125" style="14" bestFit="1" customWidth="1"/>
    <col min="23" max="23" width="21.140625" style="14" bestFit="1" customWidth="1"/>
    <col min="24" max="24" width="18.28515625" style="14" bestFit="1" customWidth="1"/>
    <col min="25" max="16384" width="11.42578125" style="14"/>
  </cols>
  <sheetData>
    <row r="1" spans="1:4" ht="18" x14ac:dyDescent="0.25">
      <c r="A1" s="13" t="s">
        <v>85</v>
      </c>
    </row>
    <row r="3" spans="1:4" x14ac:dyDescent="0.25">
      <c r="A3" s="25" t="s">
        <v>417</v>
      </c>
      <c r="B3" s="409">
        <f>Berechnung!C60</f>
        <v>3</v>
      </c>
      <c r="C3" s="17" t="s">
        <v>445</v>
      </c>
      <c r="D3" s="87" t="str">
        <f>VLOOKUP(B3,Verbindungsstück,2,FALSE)</f>
        <v>Schamottepoterie 18x18 cm</v>
      </c>
    </row>
    <row r="4" spans="1:4" x14ac:dyDescent="0.25">
      <c r="A4" s="25" t="s">
        <v>84</v>
      </c>
      <c r="B4" s="409">
        <f>Berechnung!E60/100</f>
        <v>0.2</v>
      </c>
      <c r="C4" s="17" t="s">
        <v>442</v>
      </c>
      <c r="D4" s="87"/>
    </row>
    <row r="6" spans="1:4" ht="15" x14ac:dyDescent="0.3">
      <c r="A6" s="408" t="s">
        <v>197</v>
      </c>
      <c r="B6" s="341">
        <f>VLOOKUP(B3,Verbindungsstück,22,FALSE)</f>
        <v>1.8944867219590007E-2</v>
      </c>
      <c r="C6" s="17" t="s">
        <v>441</v>
      </c>
    </row>
    <row r="7" spans="1:4" x14ac:dyDescent="0.25">
      <c r="A7" s="408" t="s">
        <v>71</v>
      </c>
      <c r="B7" s="341">
        <f>VLOOKUP(B3,Verbindungsstück,7,FALSE)</f>
        <v>0.18</v>
      </c>
      <c r="C7" s="17" t="s">
        <v>442</v>
      </c>
    </row>
    <row r="8" spans="1:4" x14ac:dyDescent="0.25">
      <c r="A8" s="408" t="s">
        <v>72</v>
      </c>
      <c r="B8" s="341">
        <f>VLOOKUP(B3,Verbindungsstück,20,FALSE)</f>
        <v>0.216</v>
      </c>
      <c r="C8" s="17" t="s">
        <v>442</v>
      </c>
    </row>
    <row r="9" spans="1:4" x14ac:dyDescent="0.25">
      <c r="A9" s="408" t="s">
        <v>76</v>
      </c>
      <c r="B9" s="341">
        <f>VLOOKUP(B3,Verbindungsstück,6,FALSE)</f>
        <v>0.72</v>
      </c>
      <c r="C9" s="17" t="s">
        <v>442</v>
      </c>
    </row>
    <row r="10" spans="1:4" x14ac:dyDescent="0.25">
      <c r="A10" s="408" t="s">
        <v>64</v>
      </c>
      <c r="B10" s="341">
        <f>VLOOKUP(B3,Verbindungsstück,23,FALSE)</f>
        <v>3.2399999999999998E-2</v>
      </c>
      <c r="C10" s="17" t="s">
        <v>443</v>
      </c>
    </row>
    <row r="11" spans="1:4" x14ac:dyDescent="0.25">
      <c r="A11" s="408" t="s">
        <v>198</v>
      </c>
      <c r="B11" s="341">
        <f>VLOOKUP(B3,Verbindungsstück,24,FALSE)</f>
        <v>1.26</v>
      </c>
      <c r="C11" s="17" t="s">
        <v>442</v>
      </c>
    </row>
    <row r="12" spans="1:4" ht="15" x14ac:dyDescent="0.3">
      <c r="A12" s="408" t="s">
        <v>199</v>
      </c>
      <c r="B12" s="341">
        <f>VLOOKUP(B3,Verbindungsstück,9,FALSE)</f>
        <v>2E-3</v>
      </c>
      <c r="C12" s="17" t="s">
        <v>442</v>
      </c>
    </row>
    <row r="14" spans="1:4" ht="15" x14ac:dyDescent="0.3">
      <c r="A14" s="408" t="s">
        <v>184</v>
      </c>
      <c r="B14" s="410">
        <f>Berechnung!F11</f>
        <v>11.1</v>
      </c>
      <c r="C14" s="17" t="s">
        <v>444</v>
      </c>
    </row>
    <row r="15" spans="1:4" ht="15" x14ac:dyDescent="0.3">
      <c r="A15" s="408" t="s">
        <v>185</v>
      </c>
      <c r="B15" s="410">
        <f>Berechnung!F12</f>
        <v>5.55</v>
      </c>
      <c r="C15" s="17" t="s">
        <v>444</v>
      </c>
    </row>
    <row r="16" spans="1:4" x14ac:dyDescent="0.25">
      <c r="A16" s="117"/>
      <c r="B16" s="118"/>
    </row>
    <row r="17" spans="1:23" ht="15" x14ac:dyDescent="0.3">
      <c r="A17" s="408" t="s">
        <v>200</v>
      </c>
      <c r="B17" s="407">
        <f>Berechnung!V16</f>
        <v>1.025268174936171</v>
      </c>
      <c r="C17" s="17" t="s">
        <v>445</v>
      </c>
    </row>
    <row r="19" spans="1:23" x14ac:dyDescent="0.25">
      <c r="A19" s="25" t="s">
        <v>86</v>
      </c>
      <c r="B19" s="172">
        <f>550*EXP(-0.83*Berechnung!$S$57/100/Berechnung!$F$14)</f>
        <v>404.76368135559306</v>
      </c>
      <c r="C19" s="17" t="s">
        <v>446</v>
      </c>
    </row>
    <row r="20" spans="1:23" x14ac:dyDescent="0.25">
      <c r="A20" s="24"/>
      <c r="B20" s="276"/>
    </row>
    <row r="23" spans="1:23" ht="30" x14ac:dyDescent="0.3">
      <c r="A23" s="25" t="s">
        <v>86</v>
      </c>
      <c r="B23" s="25" t="s">
        <v>201</v>
      </c>
      <c r="C23" s="408" t="s">
        <v>202</v>
      </c>
      <c r="D23" s="408" t="s">
        <v>19</v>
      </c>
      <c r="E23" s="408" t="s">
        <v>203</v>
      </c>
      <c r="F23" s="412" t="s">
        <v>448</v>
      </c>
      <c r="G23" s="408" t="s">
        <v>204</v>
      </c>
      <c r="H23" s="408" t="s">
        <v>205</v>
      </c>
      <c r="I23" s="408" t="s">
        <v>68</v>
      </c>
      <c r="J23" s="408" t="s">
        <v>69</v>
      </c>
      <c r="K23" s="412" t="s">
        <v>447</v>
      </c>
      <c r="L23" s="412" t="s">
        <v>450</v>
      </c>
      <c r="M23" s="412" t="s">
        <v>451</v>
      </c>
      <c r="N23" s="412" t="s">
        <v>449</v>
      </c>
      <c r="O23" s="408" t="s">
        <v>434</v>
      </c>
      <c r="P23" s="408" t="s">
        <v>87</v>
      </c>
      <c r="Q23" s="32"/>
      <c r="W23" s="32"/>
    </row>
    <row r="24" spans="1:23" x14ac:dyDescent="0.25">
      <c r="A24" s="172">
        <f>B19</f>
        <v>404.76368135559306</v>
      </c>
      <c r="B24" s="382">
        <v>1</v>
      </c>
      <c r="C24" s="345">
        <f>0.00273*$B$14*B24*$B$17</f>
        <v>3.1068701505090786E-2</v>
      </c>
      <c r="D24" s="382">
        <f>C24/$B$10</f>
        <v>0.95891054028057987</v>
      </c>
      <c r="E24" s="225">
        <f>1.282/(B24*$B$17)</f>
        <v>1.2504045588655983</v>
      </c>
      <c r="F24" s="341">
        <f>C24*E24</f>
        <v>3.8848445999999995E-2</v>
      </c>
      <c r="G24" s="387">
        <f>TREND(Konstante!$B$93:$B$94,Konstante!$A$93:$A$94,A24)</f>
        <v>5.7404912915225412E-2</v>
      </c>
      <c r="H24" s="411">
        <f>IF(A24&lt;=200,TREND(Konstante!$B$100:$B$101,Konstante!$A$100:$A$101,A24),TREND(Konstante!$B$101:$B$102,Konstante!$A$101:$A$102,A24))</f>
        <v>5.7607369372838122E-5</v>
      </c>
      <c r="I24" s="172">
        <f>(D24*$B$7)/H24</f>
        <v>2996.2121015004568</v>
      </c>
      <c r="J24" s="172">
        <f>$B$11*0.0354*((I24^0.75)-180)</f>
        <v>10.034834863041905</v>
      </c>
      <c r="K24" s="225">
        <f>IF(G24*J24/$B$7&lt;5,5,G24*J24/$B$7)</f>
        <v>5</v>
      </c>
      <c r="L24" s="225">
        <f>1/((1/K24)+Konstante!B121*($B$6+($B$7/($B$8*Konstante!$B$118))))</f>
        <v>3.8232764342658756</v>
      </c>
      <c r="M24" s="341">
        <f>IF(A24&lt;=200,TREND(Konstante!$B$126:$B$127,Konstante!$A$126:$A$127,A24),TREND(Konstante!$B$127:$B$128,Konstante!$A$127:$A$128,A24))</f>
        <v>1105.1432835253422</v>
      </c>
      <c r="N24" s="397">
        <f>($B$9*$B$4*L24)/(F24*M24)</f>
        <v>1.2823481582935333E-2</v>
      </c>
      <c r="O24" s="172">
        <f>($B$19*(1-EXP(-N24))/N24)</f>
        <v>402.17949941277749</v>
      </c>
      <c r="P24" s="172"/>
      <c r="Q24" s="121"/>
    </row>
    <row r="25" spans="1:23" x14ac:dyDescent="0.25">
      <c r="A25" s="172">
        <f>O24</f>
        <v>402.17949941277749</v>
      </c>
      <c r="B25" s="382">
        <v>1</v>
      </c>
      <c r="C25" s="345">
        <f>0.00273*$B$14*B25*$B$17</f>
        <v>3.1068701505090786E-2</v>
      </c>
      <c r="D25" s="382">
        <f>C25/$B$10</f>
        <v>0.95891054028057987</v>
      </c>
      <c r="E25" s="225">
        <f>1.282/(B25*$B$17)</f>
        <v>1.2504045588655983</v>
      </c>
      <c r="F25" s="341">
        <f>C25*E25</f>
        <v>3.8848445999999995E-2</v>
      </c>
      <c r="G25" s="387">
        <f>TREND(Konstante!$B$93:$B$94,Konstante!$A$93:$A$94,A25)</f>
        <v>5.718525745008609E-2</v>
      </c>
      <c r="H25" s="411">
        <f>IF(A25&lt;=200,TREND(Konstante!$B$100:$B$101,Konstante!$A$100:$A$101,A25),TREND(Konstante!$B$101:$B$102,Konstante!$A$101:$A$102,A25))</f>
        <v>5.7277886175129135E-5</v>
      </c>
      <c r="I25" s="172">
        <f>(D25*$B$7)/H25</f>
        <v>3013.4474013716558</v>
      </c>
      <c r="J25" s="172">
        <f>$B$11*0.0354*((I25^0.75)-180)</f>
        <v>10.112710055482935</v>
      </c>
      <c r="K25" s="225">
        <f>IF(G25*J25/$B$7&lt;5,5,G25*J25/$B$7)</f>
        <v>5</v>
      </c>
      <c r="L25" s="225">
        <f>1/((1/K25)+ Verbindungsstück!E29*($B$6+($B$7/($B$8*Konstante!$B$118))))</f>
        <v>3.8232764342658756</v>
      </c>
      <c r="M25" s="341">
        <f>IF(A25&lt;=200,TREND(Konstante!$B$126:$B$127,Konstante!$A$126:$A$127,A25),TREND(Konstante!$B$127:$B$128,Konstante!$A$127:$A$128,A25))</f>
        <v>1104.5230798590667</v>
      </c>
      <c r="N25" s="397">
        <f>($B$9*L25*$B$4)/(F25*C29)</f>
        <v>1.5872864250612285E-2</v>
      </c>
      <c r="O25" s="172">
        <f>($B$19*(1-EXP(-N25))/N25)</f>
        <v>401.56823119376031</v>
      </c>
      <c r="P25" s="172">
        <f>B19*EXP(-N25)</f>
        <v>398.38964333449604</v>
      </c>
      <c r="Q25" s="121"/>
    </row>
    <row r="28" spans="1:23" ht="15" x14ac:dyDescent="0.3">
      <c r="A28" s="408" t="s">
        <v>437</v>
      </c>
      <c r="B28" s="408" t="s">
        <v>436</v>
      </c>
      <c r="C28" s="408" t="s">
        <v>440</v>
      </c>
      <c r="D28" s="408" t="s">
        <v>438</v>
      </c>
      <c r="E28" s="408" t="s">
        <v>439</v>
      </c>
    </row>
    <row r="29" spans="1:23" x14ac:dyDescent="0.25">
      <c r="A29" s="382">
        <f>9700*EXP((-9.81*Berechnung!C6)/(288*288.15))</f>
        <v>9473.3603443609427</v>
      </c>
      <c r="B29" s="382">
        <f>288*(1+(0.0037*20.31))</f>
        <v>309.642336</v>
      </c>
      <c r="C29" s="17">
        <f>(1011+(0.05*A25)+(0.0003*(A25^2))+(11.6+(0.015*A25)+((-0.000012*A25^2)*20.31)))/(1+(0.0091*20.31))</f>
        <v>892.83095470593719</v>
      </c>
      <c r="D29" s="17">
        <f>A29/(288*(Berechnung!I22+273.15))</f>
        <v>0.12042325574522728</v>
      </c>
      <c r="E29" s="17">
        <f>Konstante!B121</f>
        <v>0.5</v>
      </c>
      <c r="K29" s="120"/>
    </row>
  </sheetData>
  <sheetProtection password="CA0F" sheet="1" formatCells="0" formatColumns="0" formatRows="0" insertColumns="0" insertRows="0" insertHyperlinks="0" deleteColumns="0" deleteRows="0" sort="0" autoFilter="0" pivotTables="0"/>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W29"/>
  <sheetViews>
    <sheetView workbookViewId="0"/>
  </sheetViews>
  <sheetFormatPr baseColWidth="10" defaultRowHeight="13.5" x14ac:dyDescent="0.25"/>
  <cols>
    <col min="1" max="1" width="40.85546875" style="14" customWidth="1"/>
    <col min="2" max="2" width="43.85546875" style="14" customWidth="1"/>
    <col min="3" max="3" width="27.28515625" style="14" customWidth="1"/>
    <col min="4" max="4" width="29" style="14" bestFit="1" customWidth="1"/>
    <col min="5" max="5" width="24.42578125" style="14" bestFit="1" customWidth="1"/>
    <col min="6" max="6" width="24.42578125" style="14" customWidth="1"/>
    <col min="7" max="7" width="32" style="14" bestFit="1" customWidth="1"/>
    <col min="8" max="11" width="24.42578125" style="14" customWidth="1"/>
    <col min="12" max="12" width="33.42578125" style="14" customWidth="1"/>
    <col min="13" max="14" width="26.42578125" style="14" customWidth="1"/>
    <col min="15" max="15" width="38.28515625" style="14" customWidth="1"/>
    <col min="16" max="16" width="67" style="14" bestFit="1" customWidth="1"/>
    <col min="17" max="17" width="67" style="14" customWidth="1"/>
    <col min="18" max="18" width="12.140625" style="14" bestFit="1" customWidth="1"/>
    <col min="19" max="19" width="26.42578125" style="14" bestFit="1" customWidth="1"/>
    <col min="20" max="20" width="22.28515625" style="14" bestFit="1" customWidth="1"/>
    <col min="21" max="22" width="19.5703125" style="14" bestFit="1" customWidth="1"/>
    <col min="23" max="23" width="21.140625" style="14" bestFit="1" customWidth="1"/>
    <col min="24" max="24" width="18.28515625" style="14" bestFit="1" customWidth="1"/>
    <col min="25" max="16384" width="11.42578125" style="14"/>
  </cols>
  <sheetData>
    <row r="1" spans="1:4" ht="18" x14ac:dyDescent="0.25">
      <c r="A1" s="13" t="s">
        <v>61</v>
      </c>
    </row>
    <row r="3" spans="1:4" x14ac:dyDescent="0.25">
      <c r="A3" s="14" t="s">
        <v>416</v>
      </c>
      <c r="B3" s="274">
        <f>Berechnung!C63</f>
        <v>25</v>
      </c>
      <c r="D3" s="87" t="str">
        <f>VLOOKUP(B3,Schornstein,2,FALSE)</f>
        <v>Metallfang D 18 cm</v>
      </c>
    </row>
    <row r="4" spans="1:4" x14ac:dyDescent="0.25">
      <c r="A4" s="14" t="s">
        <v>67</v>
      </c>
      <c r="B4" s="274">
        <f>Berechnung!E63/100</f>
        <v>7</v>
      </c>
      <c r="C4" s="14" t="s">
        <v>9</v>
      </c>
      <c r="D4" s="87"/>
    </row>
    <row r="6" spans="1:4" ht="15" x14ac:dyDescent="0.3">
      <c r="A6" s="117" t="s">
        <v>413</v>
      </c>
      <c r="B6" s="88">
        <f>VLOOKUP(B3,Schornstein,22,FALSE)</f>
        <v>0.47951452814132639</v>
      </c>
      <c r="C6" s="117" t="s">
        <v>65</v>
      </c>
    </row>
    <row r="7" spans="1:4" x14ac:dyDescent="0.25">
      <c r="A7" s="117" t="s">
        <v>71</v>
      </c>
      <c r="B7" s="88">
        <f>VLOOKUP(B3,Schornstein,7,FALSE)</f>
        <v>0.18</v>
      </c>
      <c r="C7" s="117" t="s">
        <v>9</v>
      </c>
    </row>
    <row r="8" spans="1:4" x14ac:dyDescent="0.25">
      <c r="A8" s="117" t="s">
        <v>72</v>
      </c>
      <c r="B8" s="88">
        <f>VLOOKUP(B3,Schornstein,20,FALSE)</f>
        <v>0.25600000000000001</v>
      </c>
      <c r="C8" s="117" t="s">
        <v>9</v>
      </c>
    </row>
    <row r="9" spans="1:4" x14ac:dyDescent="0.25">
      <c r="A9" s="117" t="s">
        <v>76</v>
      </c>
      <c r="B9" s="88">
        <f>VLOOKUP(B3,Schornstein,6,FALSE)</f>
        <v>0.56548667764616278</v>
      </c>
      <c r="C9" s="117" t="s">
        <v>9</v>
      </c>
    </row>
    <row r="10" spans="1:4" x14ac:dyDescent="0.25">
      <c r="A10" s="117" t="s">
        <v>64</v>
      </c>
      <c r="B10" s="88">
        <f>VLOOKUP(B3,Schornstein,23,FALSE)</f>
        <v>2.5446900494077322E-2</v>
      </c>
      <c r="C10" s="117" t="s">
        <v>66</v>
      </c>
    </row>
    <row r="11" spans="1:4" x14ac:dyDescent="0.25">
      <c r="A11" s="32" t="s">
        <v>412</v>
      </c>
      <c r="B11" s="88">
        <f>VLOOKUP(B3,Schornstein,24,FALSE)</f>
        <v>1.1499999999999999</v>
      </c>
      <c r="C11" s="117"/>
    </row>
    <row r="12" spans="1:4" ht="15" x14ac:dyDescent="0.3">
      <c r="A12" s="32" t="s">
        <v>433</v>
      </c>
      <c r="B12" s="88">
        <f>VLOOKUP(B3,Schornstein,9,FALSE)</f>
        <v>1E-3</v>
      </c>
      <c r="C12" s="117" t="s">
        <v>9</v>
      </c>
    </row>
    <row r="14" spans="1:4" ht="15" x14ac:dyDescent="0.3">
      <c r="A14" s="117" t="s">
        <v>184</v>
      </c>
      <c r="B14" s="275">
        <f>Berechnung!F11</f>
        <v>11.1</v>
      </c>
      <c r="C14" s="14" t="s">
        <v>1</v>
      </c>
    </row>
    <row r="15" spans="1:4" ht="15" x14ac:dyDescent="0.3">
      <c r="A15" s="117" t="s">
        <v>185</v>
      </c>
      <c r="B15" s="275">
        <f>Berechnung!F12</f>
        <v>5.55</v>
      </c>
      <c r="C15" s="14" t="s">
        <v>1</v>
      </c>
    </row>
    <row r="16" spans="1:4" x14ac:dyDescent="0.25">
      <c r="A16" s="117"/>
      <c r="B16" s="118"/>
    </row>
    <row r="17" spans="1:23" ht="15" x14ac:dyDescent="0.3">
      <c r="A17" s="117" t="s">
        <v>200</v>
      </c>
      <c r="B17" s="118">
        <f>Berechnung!V16</f>
        <v>1.025268174936171</v>
      </c>
    </row>
    <row r="19" spans="1:23" ht="28.5" x14ac:dyDescent="0.3">
      <c r="A19" s="413" t="s">
        <v>452</v>
      </c>
      <c r="B19" s="172">
        <f>Verbindungsstück!P25</f>
        <v>398.38964333449604</v>
      </c>
    </row>
    <row r="20" spans="1:23" x14ac:dyDescent="0.25">
      <c r="A20" s="25" t="s">
        <v>81</v>
      </c>
      <c r="B20" s="414">
        <f>B19/3*2</f>
        <v>265.5930955563307</v>
      </c>
    </row>
    <row r="23" spans="1:23" ht="15" x14ac:dyDescent="0.3">
      <c r="A23" s="25" t="s">
        <v>88</v>
      </c>
      <c r="B23" s="25" t="s">
        <v>201</v>
      </c>
      <c r="C23" s="408" t="s">
        <v>202</v>
      </c>
      <c r="D23" s="408" t="s">
        <v>19</v>
      </c>
      <c r="E23" s="25" t="s">
        <v>203</v>
      </c>
      <c r="F23" s="25" t="s">
        <v>77</v>
      </c>
      <c r="G23" s="408" t="s">
        <v>204</v>
      </c>
      <c r="H23" s="408" t="s">
        <v>205</v>
      </c>
      <c r="I23" s="408" t="s">
        <v>68</v>
      </c>
      <c r="J23" s="408" t="s">
        <v>69</v>
      </c>
      <c r="K23" s="408" t="s">
        <v>206</v>
      </c>
      <c r="L23" s="408" t="s">
        <v>70</v>
      </c>
      <c r="M23" s="408" t="s">
        <v>79</v>
      </c>
      <c r="N23" s="408" t="s">
        <v>435</v>
      </c>
      <c r="O23" s="408" t="s">
        <v>80</v>
      </c>
      <c r="P23" s="408" t="s">
        <v>82</v>
      </c>
      <c r="Q23" s="408" t="s">
        <v>83</v>
      </c>
      <c r="W23" s="32"/>
    </row>
    <row r="24" spans="1:23" x14ac:dyDescent="0.25">
      <c r="A24" s="172">
        <f>B19</f>
        <v>398.38964333449604</v>
      </c>
      <c r="B24" s="382">
        <f>(273+A24)/273</f>
        <v>2.4593027228369815</v>
      </c>
      <c r="C24" s="345">
        <f>0.00273*$B$14*B24*$B$17</f>
        <v>7.6407342206479198E-2</v>
      </c>
      <c r="D24" s="382">
        <f>C24/$B$10</f>
        <v>3.0026188149815236</v>
      </c>
      <c r="E24" s="225">
        <f>1.282/(B24*$B$17)</f>
        <v>0.5084386510267298</v>
      </c>
      <c r="F24" s="341">
        <f>C24*E24</f>
        <v>3.8848446000000002E-2</v>
      </c>
      <c r="G24" s="387">
        <f>TREND(Konstante!$B$93:$B$94,Konstante!$A$93:$A$94,A24)</f>
        <v>5.6863119683432169E-2</v>
      </c>
      <c r="H24" s="411">
        <f>IF(A24&lt;=200,TREND(Konstante!$B$100:$B$101,Konstante!$A$100:$A$101,A24),TREND(Konstante!$B$101:$B$102,Konstante!$A$101:$A$102,A24))</f>
        <v>5.6794679525148253E-5</v>
      </c>
      <c r="I24" s="172">
        <f>(D24*$B$7)/H24</f>
        <v>9516.2327037580635</v>
      </c>
      <c r="J24" s="172">
        <f>$B$11*0.0354*((I24^0.75)-180)</f>
        <v>31.896020471646459</v>
      </c>
      <c r="K24" s="225">
        <f>IF(G24*J24/$B$7&lt;5,5,G24*J24/$B$7)</f>
        <v>10.076151275024641</v>
      </c>
      <c r="L24" s="225">
        <f>1/((1/K24)+Konstante!B121*($B$6+($B$7/($B$8*Konstante!$B$118))))</f>
        <v>2.6113286502383142</v>
      </c>
      <c r="M24" s="341">
        <f>IF(A24&lt;=200,TREND(Konstante!$B$126:$B$127,Konstante!$A$126:$A$127,A24),TREND(Konstante!$B$127:$B$128,Konstante!$A$127:$A$128,A24))</f>
        <v>1103.613514400279</v>
      </c>
      <c r="N24" s="397">
        <f>$B$9*L24*$B$4/(F24*M24)</f>
        <v>0.24109671353223919</v>
      </c>
      <c r="O24" s="172">
        <f>($B$19*(1-EXP(-N24))/N24)</f>
        <v>354.00214952724559</v>
      </c>
      <c r="P24" s="121"/>
      <c r="Q24" s="121"/>
    </row>
    <row r="25" spans="1:23" x14ac:dyDescent="0.25">
      <c r="A25" s="172">
        <f>O24</f>
        <v>354.00214952724559</v>
      </c>
      <c r="B25" s="382">
        <f>(273+A25)/273</f>
        <v>2.2967111704294711</v>
      </c>
      <c r="C25" s="345">
        <f>0.00273*$B$14*B25*$B$17</f>
        <v>7.1355833797480936E-2</v>
      </c>
      <c r="D25" s="382">
        <f>C25/$B$10</f>
        <v>2.8041070783488449</v>
      </c>
      <c r="E25" s="225">
        <f>1.282/(B25*$B$17)</f>
        <v>0.54443265438195276</v>
      </c>
      <c r="F25" s="341">
        <f>C25*E25</f>
        <v>3.8848446000000002E-2</v>
      </c>
      <c r="G25" s="387">
        <f>TREND(Konstante!$B$93:$B$94,Konstante!$A$93:$A$94,A25)</f>
        <v>5.3090182709815872E-2</v>
      </c>
      <c r="H25" s="411">
        <f>IF(A25&lt;=200,TREND(Konstante!$B$100:$B$101,Konstante!$A$100:$A$101,A25),TREND(Konstante!$B$101:$B$102,Konstante!$A$101:$A$102,A25))</f>
        <v>5.1135274064723821E-5</v>
      </c>
      <c r="I25" s="172">
        <f>(D25*$B$7)/H25</f>
        <v>9870.667231858868</v>
      </c>
      <c r="J25" s="172">
        <f>$B$11*0.0354*((I25^0.75)-180)</f>
        <v>32.98667286513782</v>
      </c>
      <c r="K25" s="225">
        <f>IF(G25*J25/$B$7&lt;5,5,G25*J25/$B$7)</f>
        <v>9.7292693855505128</v>
      </c>
      <c r="L25" s="225">
        <f>1/((1/K25)+Konstante!B121*($B$6+($B$7/($B$8*Konstante!$B$118))))</f>
        <v>2.5874210841402028</v>
      </c>
      <c r="M25" s="341">
        <f>IF(A25&lt;=200,TREND(Konstante!$B$126:$B$127,Konstante!$A$126:$A$127,A25),TREND(Konstante!$B$127:$B$128,Konstante!$A$127:$A$128,A25))</f>
        <v>1092.9605158865388</v>
      </c>
      <c r="N25" s="397">
        <f>$B$9*$B$4*L25/(F25*M25)</f>
        <v>0.2412178302020053</v>
      </c>
      <c r="O25" s="172">
        <f>($B$19*(1-EXP(-N25))/N25)</f>
        <v>353.98157315664582</v>
      </c>
      <c r="P25" s="172">
        <f>B20*EXP(-N25)</f>
        <v>208.66865088410503</v>
      </c>
      <c r="Q25" s="172">
        <f>P25-(L25*P25/K25)</f>
        <v>153.17489842428716</v>
      </c>
    </row>
    <row r="29" spans="1:23" x14ac:dyDescent="0.25">
      <c r="K29" s="120"/>
    </row>
  </sheetData>
  <sheetProtection password="CA0F" sheet="1" formatCells="0" formatColumns="0" formatRows="0" insertColumns="0" insertRows="0" insertHyperlinks="0" deleteColumns="0" deleteRows="0" sort="0" autoFilter="0" pivotTables="0"/>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X278"/>
  <sheetViews>
    <sheetView workbookViewId="0">
      <selection activeCell="C39" sqref="C39"/>
    </sheetView>
  </sheetViews>
  <sheetFormatPr baseColWidth="10" defaultRowHeight="13.5" x14ac:dyDescent="0.25"/>
  <cols>
    <col min="1" max="1" width="15" style="14" customWidth="1"/>
    <col min="2" max="2" width="32.5703125" style="14" customWidth="1"/>
    <col min="3" max="3" width="21.140625" style="14" customWidth="1"/>
    <col min="4" max="4" width="11.42578125" style="14"/>
    <col min="5" max="5" width="12.5703125" style="14" bestFit="1" customWidth="1"/>
    <col min="6" max="6" width="12.5703125" style="14" customWidth="1"/>
    <col min="7" max="21" width="11.42578125" style="14"/>
    <col min="22" max="22" width="26.7109375" style="14" customWidth="1"/>
    <col min="23" max="23" width="12" style="14" customWidth="1"/>
    <col min="24" max="24" width="21" style="14" customWidth="1"/>
    <col min="25" max="16384" width="11.42578125" style="14"/>
  </cols>
  <sheetData>
    <row r="1" spans="1:10" x14ac:dyDescent="0.25">
      <c r="A1" s="87" t="s">
        <v>12</v>
      </c>
    </row>
    <row r="3" spans="1:10" ht="15" x14ac:dyDescent="0.3">
      <c r="A3" s="17" t="s">
        <v>13</v>
      </c>
      <c r="B3" s="17" t="s">
        <v>207</v>
      </c>
    </row>
    <row r="4" spans="1:10" x14ac:dyDescent="0.25">
      <c r="A4" s="17">
        <v>0</v>
      </c>
      <c r="B4" s="303">
        <f t="shared" ref="B4:B19" si="0">(1/(EXP((-9.81*A4)/78624)))</f>
        <v>1</v>
      </c>
      <c r="D4" s="32"/>
      <c r="E4" s="32"/>
      <c r="F4" s="32"/>
      <c r="I4" s="87" t="s">
        <v>432</v>
      </c>
    </row>
    <row r="5" spans="1:10" x14ac:dyDescent="0.25">
      <c r="A5" s="17">
        <v>200</v>
      </c>
      <c r="B5" s="303">
        <f t="shared" si="0"/>
        <v>1.025268174936171</v>
      </c>
      <c r="D5" s="32"/>
      <c r="E5" s="32"/>
      <c r="F5" s="32"/>
    </row>
    <row r="6" spans="1:10" x14ac:dyDescent="0.25">
      <c r="A6" s="17">
        <v>400</v>
      </c>
      <c r="B6" s="303">
        <f t="shared" si="0"/>
        <v>1.0511748305369468</v>
      </c>
      <c r="D6" s="32"/>
      <c r="E6" s="32"/>
      <c r="F6" s="32"/>
      <c r="I6" s="17" t="s">
        <v>431</v>
      </c>
      <c r="J6" s="17" t="s">
        <v>208</v>
      </c>
    </row>
    <row r="7" spans="1:10" x14ac:dyDescent="0.25">
      <c r="A7" s="17">
        <v>600</v>
      </c>
      <c r="B7" s="303">
        <f t="shared" si="0"/>
        <v>1.0777361000434544</v>
      </c>
      <c r="D7" s="32"/>
      <c r="E7" s="32"/>
      <c r="F7" s="32"/>
      <c r="I7" s="17">
        <v>0</v>
      </c>
      <c r="J7" s="17">
        <v>1</v>
      </c>
    </row>
    <row r="8" spans="1:10" x14ac:dyDescent="0.25">
      <c r="A8" s="17">
        <v>800</v>
      </c>
      <c r="B8" s="303">
        <f t="shared" si="0"/>
        <v>1.1049685243543792</v>
      </c>
      <c r="D8" s="32"/>
      <c r="E8" s="32"/>
      <c r="F8" s="32"/>
      <c r="I8" s="17">
        <v>0.2</v>
      </c>
      <c r="J8" s="17">
        <v>0.7</v>
      </c>
    </row>
    <row r="9" spans="1:10" x14ac:dyDescent="0.25">
      <c r="A9" s="17">
        <v>1000</v>
      </c>
      <c r="B9" s="303">
        <f t="shared" si="0"/>
        <v>1.1328890623267283</v>
      </c>
      <c r="D9" s="32"/>
      <c r="E9" s="32"/>
      <c r="F9" s="32"/>
      <c r="I9" s="17">
        <v>0.4</v>
      </c>
      <c r="J9" s="17">
        <v>0.4</v>
      </c>
    </row>
    <row r="10" spans="1:10" x14ac:dyDescent="0.25">
      <c r="A10" s="17">
        <v>1200</v>
      </c>
      <c r="B10" s="303">
        <f t="shared" si="0"/>
        <v>1.1615151013368747</v>
      </c>
      <c r="D10" s="32"/>
      <c r="E10" s="32"/>
      <c r="F10" s="32"/>
      <c r="I10" s="17">
        <v>0.6</v>
      </c>
      <c r="J10" s="17">
        <v>0.2</v>
      </c>
    </row>
    <row r="11" spans="1:10" x14ac:dyDescent="0.25">
      <c r="A11" s="17">
        <v>1400</v>
      </c>
      <c r="B11" s="303">
        <f t="shared" si="0"/>
        <v>1.1908644681084593</v>
      </c>
      <c r="D11" s="32"/>
      <c r="E11" s="32"/>
      <c r="F11" s="32"/>
      <c r="I11" s="17">
        <v>0.8</v>
      </c>
      <c r="J11" s="17">
        <v>0.1</v>
      </c>
    </row>
    <row r="12" spans="1:10" x14ac:dyDescent="0.25">
      <c r="A12" s="17">
        <v>1600</v>
      </c>
      <c r="B12" s="303">
        <f t="shared" si="0"/>
        <v>1.2209554398138942</v>
      </c>
      <c r="D12" s="32"/>
      <c r="E12" s="32"/>
      <c r="F12" s="32"/>
      <c r="I12" s="17">
        <v>1</v>
      </c>
      <c r="J12" s="17">
        <v>0</v>
      </c>
    </row>
    <row r="13" spans="1:10" x14ac:dyDescent="0.25">
      <c r="A13" s="17">
        <v>1800</v>
      </c>
      <c r="B13" s="303">
        <f t="shared" si="0"/>
        <v>1.2518067554563814</v>
      </c>
      <c r="D13" s="32"/>
      <c r="E13" s="32"/>
      <c r="F13" s="32"/>
      <c r="I13" s="32"/>
      <c r="J13" s="32"/>
    </row>
    <row r="14" spans="1:10" x14ac:dyDescent="0.25">
      <c r="A14" s="17">
        <v>2000</v>
      </c>
      <c r="B14" s="303">
        <f t="shared" si="0"/>
        <v>1.2834376275395336</v>
      </c>
      <c r="D14" s="32"/>
      <c r="E14" s="32"/>
      <c r="F14" s="32"/>
      <c r="I14" s="343"/>
    </row>
    <row r="15" spans="1:10" x14ac:dyDescent="0.25">
      <c r="A15" s="17">
        <v>2200</v>
      </c>
      <c r="B15" s="303">
        <f t="shared" si="0"/>
        <v>1.3158677540318671</v>
      </c>
      <c r="D15" s="32"/>
      <c r="E15" s="32"/>
      <c r="F15" s="32"/>
      <c r="I15" s="343"/>
    </row>
    <row r="16" spans="1:10" x14ac:dyDescent="0.25">
      <c r="A16" s="17">
        <v>2400</v>
      </c>
      <c r="B16" s="303">
        <f t="shared" si="0"/>
        <v>1.3491173306336106</v>
      </c>
      <c r="D16" s="32"/>
      <c r="E16" s="32"/>
      <c r="F16" s="32"/>
    </row>
    <row r="17" spans="1:10" x14ac:dyDescent="0.25">
      <c r="A17" s="17">
        <v>2600</v>
      </c>
      <c r="B17" s="303">
        <f t="shared" si="0"/>
        <v>1.3832070633534808</v>
      </c>
      <c r="D17" s="32"/>
      <c r="E17" s="32"/>
      <c r="F17" s="32"/>
    </row>
    <row r="18" spans="1:10" x14ac:dyDescent="0.25">
      <c r="A18" s="17">
        <v>2800</v>
      </c>
      <c r="B18" s="303">
        <f t="shared" si="0"/>
        <v>1.4181581814032438</v>
      </c>
    </row>
    <row r="19" spans="1:10" x14ac:dyDescent="0.25">
      <c r="A19" s="17">
        <v>3000</v>
      </c>
      <c r="B19" s="303">
        <f t="shared" si="0"/>
        <v>1.453992450418103</v>
      </c>
      <c r="D19" s="14" t="s">
        <v>16</v>
      </c>
    </row>
    <row r="21" spans="1:10" x14ac:dyDescent="0.25">
      <c r="A21" s="87" t="s">
        <v>14</v>
      </c>
      <c r="I21" s="87" t="s">
        <v>430</v>
      </c>
    </row>
    <row r="23" spans="1:10" x14ac:dyDescent="0.25">
      <c r="A23" s="17" t="s">
        <v>15</v>
      </c>
      <c r="B23" s="17" t="s">
        <v>208</v>
      </c>
      <c r="I23" s="17" t="s">
        <v>422</v>
      </c>
      <c r="J23" s="17" t="s">
        <v>208</v>
      </c>
    </row>
    <row r="24" spans="1:10" x14ac:dyDescent="0.25">
      <c r="A24" s="17">
        <v>0</v>
      </c>
      <c r="B24" s="17">
        <v>0</v>
      </c>
      <c r="I24" s="17">
        <v>0.2</v>
      </c>
      <c r="J24" s="17">
        <v>0.39</v>
      </c>
    </row>
    <row r="25" spans="1:10" x14ac:dyDescent="0.25">
      <c r="A25" s="17">
        <v>10</v>
      </c>
      <c r="B25" s="17">
        <v>0.1</v>
      </c>
      <c r="I25" s="17">
        <v>0.4</v>
      </c>
      <c r="J25" s="17">
        <v>0.33</v>
      </c>
    </row>
    <row r="26" spans="1:10" x14ac:dyDescent="0.25">
      <c r="A26" s="17">
        <v>30</v>
      </c>
      <c r="B26" s="17">
        <v>0.2</v>
      </c>
      <c r="I26" s="17">
        <v>0.5</v>
      </c>
      <c r="J26" s="17">
        <v>0.29249999999999998</v>
      </c>
    </row>
    <row r="27" spans="1:10" x14ac:dyDescent="0.25">
      <c r="A27" s="17">
        <v>45</v>
      </c>
      <c r="B27" s="17">
        <v>0.4</v>
      </c>
      <c r="I27" s="17">
        <v>0.6</v>
      </c>
      <c r="J27" s="17">
        <v>0.25</v>
      </c>
    </row>
    <row r="28" spans="1:10" x14ac:dyDescent="0.25">
      <c r="A28" s="17">
        <v>60</v>
      </c>
      <c r="B28" s="17">
        <v>0.8</v>
      </c>
      <c r="I28" s="17">
        <v>0.7</v>
      </c>
      <c r="J28" s="17">
        <v>0.20250000000000001</v>
      </c>
    </row>
    <row r="29" spans="1:10" x14ac:dyDescent="0.25">
      <c r="A29" s="17">
        <v>90</v>
      </c>
      <c r="B29" s="17">
        <v>1.2</v>
      </c>
      <c r="D29" s="14" t="s">
        <v>16</v>
      </c>
      <c r="I29" s="17">
        <v>0.8</v>
      </c>
      <c r="J29" s="17">
        <v>0.15</v>
      </c>
    </row>
    <row r="30" spans="1:10" x14ac:dyDescent="0.25">
      <c r="A30" s="17">
        <v>120</v>
      </c>
      <c r="B30" s="17">
        <v>1.6</v>
      </c>
      <c r="I30" s="17">
        <v>0.9</v>
      </c>
      <c r="J30" s="17">
        <v>9.2499999999999999E-2</v>
      </c>
    </row>
    <row r="32" spans="1:10" x14ac:dyDescent="0.25">
      <c r="A32" s="87" t="s">
        <v>21</v>
      </c>
      <c r="D32" s="23">
        <v>3.0000000000000001E-3</v>
      </c>
      <c r="E32" s="14" t="s">
        <v>9</v>
      </c>
    </row>
    <row r="36" spans="1:24" x14ac:dyDescent="0.25">
      <c r="A36" s="87" t="s">
        <v>22</v>
      </c>
    </row>
    <row r="37" spans="1:24" ht="14.25" thickBot="1" x14ac:dyDescent="0.3"/>
    <row r="38" spans="1:24" ht="14.25" thickBot="1" x14ac:dyDescent="0.3">
      <c r="D38" s="203" t="s">
        <v>31</v>
      </c>
      <c r="E38" s="200"/>
      <c r="F38" s="200"/>
      <c r="G38" s="200"/>
      <c r="H38" s="200"/>
      <c r="I38" s="204"/>
      <c r="J38" s="203" t="s">
        <v>32</v>
      </c>
      <c r="K38" s="200"/>
      <c r="L38" s="200"/>
      <c r="M38" s="204"/>
      <c r="N38" s="203" t="s">
        <v>33</v>
      </c>
      <c r="O38" s="200"/>
      <c r="P38" s="200"/>
      <c r="Q38" s="204"/>
      <c r="R38" s="203" t="s">
        <v>37</v>
      </c>
      <c r="S38" s="200"/>
      <c r="T38" s="200"/>
      <c r="U38" s="204"/>
      <c r="V38" s="14" t="s">
        <v>38</v>
      </c>
      <c r="W38" s="117" t="s">
        <v>62</v>
      </c>
      <c r="X38" s="32" t="s">
        <v>412</v>
      </c>
    </row>
    <row r="39" spans="1:24" ht="15.75" thickBot="1" x14ac:dyDescent="0.35">
      <c r="A39" s="205" t="s">
        <v>28</v>
      </c>
      <c r="B39" s="204" t="s">
        <v>29</v>
      </c>
      <c r="C39" s="206" t="s">
        <v>34</v>
      </c>
      <c r="D39" s="207" t="s">
        <v>56</v>
      </c>
      <c r="E39" s="208" t="s">
        <v>35</v>
      </c>
      <c r="F39" s="208" t="s">
        <v>75</v>
      </c>
      <c r="G39" s="208" t="s">
        <v>209</v>
      </c>
      <c r="H39" s="208" t="s">
        <v>397</v>
      </c>
      <c r="I39" s="209" t="s">
        <v>210</v>
      </c>
      <c r="J39" s="207" t="s">
        <v>56</v>
      </c>
      <c r="K39" s="208" t="s">
        <v>35</v>
      </c>
      <c r="L39" s="208" t="s">
        <v>209</v>
      </c>
      <c r="M39" s="209" t="s">
        <v>399</v>
      </c>
      <c r="N39" s="207" t="s">
        <v>56</v>
      </c>
      <c r="O39" s="208" t="s">
        <v>35</v>
      </c>
      <c r="P39" s="208" t="s">
        <v>209</v>
      </c>
      <c r="Q39" s="208" t="s">
        <v>397</v>
      </c>
      <c r="R39" s="207" t="s">
        <v>56</v>
      </c>
      <c r="S39" s="208" t="s">
        <v>35</v>
      </c>
      <c r="T39" s="208" t="s">
        <v>211</v>
      </c>
      <c r="U39" s="209" t="s">
        <v>34</v>
      </c>
      <c r="V39" s="117" t="s">
        <v>398</v>
      </c>
      <c r="W39" s="117" t="s">
        <v>63</v>
      </c>
      <c r="X39" s="117" t="s">
        <v>20</v>
      </c>
    </row>
    <row r="40" spans="1:24" x14ac:dyDescent="0.25">
      <c r="A40" s="210">
        <v>1</v>
      </c>
      <c r="B40" s="211" t="s">
        <v>39</v>
      </c>
      <c r="C40" s="210">
        <v>1</v>
      </c>
      <c r="D40" s="212" t="s">
        <v>36</v>
      </c>
      <c r="E40" s="213" t="s">
        <v>36</v>
      </c>
      <c r="F40" s="214">
        <f>G40*PI()</f>
        <v>0.4398229715025711</v>
      </c>
      <c r="G40" s="394">
        <v>0.14000000000000001</v>
      </c>
      <c r="H40" s="215">
        <v>1.1000000000000001</v>
      </c>
      <c r="I40" s="216">
        <v>1.5E-3</v>
      </c>
      <c r="J40" s="212" t="s">
        <v>36</v>
      </c>
      <c r="K40" s="213" t="s">
        <v>36</v>
      </c>
      <c r="L40" s="394">
        <v>0.17</v>
      </c>
      <c r="M40" s="216">
        <v>4.1200000000000001E-2</v>
      </c>
      <c r="N40" s="212" t="s">
        <v>36</v>
      </c>
      <c r="O40" s="213" t="s">
        <v>36</v>
      </c>
      <c r="P40" s="394">
        <v>0.24</v>
      </c>
      <c r="Q40" s="216">
        <v>0.41</v>
      </c>
      <c r="R40" s="312">
        <v>0.32</v>
      </c>
      <c r="S40" s="217">
        <v>0.32</v>
      </c>
      <c r="T40" s="394">
        <f t="shared" ref="T40:T48" si="1">(R40*S40*4)/(R40*2+S40*2)</f>
        <v>0.32</v>
      </c>
      <c r="U40" s="218">
        <v>1.27</v>
      </c>
      <c r="V40" s="88">
        <f>(C40*(((G40/(2*H40)*LN(L40/G40))+(G40/(2*M40)*LN(P40/L40))))+(U40*(G40/(2*Q40)*LN(T40/P40))))</f>
        <v>0.66062730611510145</v>
      </c>
      <c r="W40" s="88">
        <f>G40^2*PI()/4</f>
        <v>1.5393804002589988E-2</v>
      </c>
      <c r="X40" s="14">
        <f t="shared" ref="X40:X67" si="2">VLOOKUP(I40,Lamdafrau_glatt_hoch.67,2,FALSE)</f>
        <v>1.2050000000000001</v>
      </c>
    </row>
    <row r="41" spans="1:24" x14ac:dyDescent="0.25">
      <c r="A41" s="219">
        <v>2</v>
      </c>
      <c r="B41" s="220" t="s">
        <v>23</v>
      </c>
      <c r="C41" s="219">
        <v>1</v>
      </c>
      <c r="D41" s="221" t="s">
        <v>36</v>
      </c>
      <c r="E41" s="222" t="s">
        <v>36</v>
      </c>
      <c r="F41" s="223">
        <f t="shared" ref="F41:F47" si="3">G41*PI()</f>
        <v>0.50265482457436694</v>
      </c>
      <c r="G41" s="341">
        <v>0.16</v>
      </c>
      <c r="H41" s="18">
        <v>1.1000000000000001</v>
      </c>
      <c r="I41" s="224">
        <v>1.5E-3</v>
      </c>
      <c r="J41" s="221" t="s">
        <v>36</v>
      </c>
      <c r="K41" s="222" t="s">
        <v>36</v>
      </c>
      <c r="L41" s="341">
        <v>0.19</v>
      </c>
      <c r="M41" s="224">
        <v>4.1200000000000001E-2</v>
      </c>
      <c r="N41" s="221" t="s">
        <v>36</v>
      </c>
      <c r="O41" s="222" t="s">
        <v>36</v>
      </c>
      <c r="P41" s="341">
        <v>0.26</v>
      </c>
      <c r="Q41" s="224">
        <v>0.41</v>
      </c>
      <c r="R41" s="73">
        <v>0.34</v>
      </c>
      <c r="S41" s="225">
        <v>0.34</v>
      </c>
      <c r="T41" s="341">
        <f t="shared" si="1"/>
        <v>0.34</v>
      </c>
      <c r="U41" s="226">
        <v>1.27</v>
      </c>
      <c r="V41" s="88">
        <f t="shared" ref="V41:V48" si="4">(C41*(((G41/(2*H41)*LN(L41/G41))+(G41/(2*M41)*LN(P41/L41))))+(U41*(G41/(2*Q41)*LN(T41/P41))))</f>
        <v>0.6880191285887538</v>
      </c>
      <c r="W41" s="88">
        <f t="shared" ref="W41:W47" si="5">G41^2*PI()/4</f>
        <v>2.0106192982974676E-2</v>
      </c>
      <c r="X41" s="14">
        <f t="shared" si="2"/>
        <v>1.2050000000000001</v>
      </c>
    </row>
    <row r="42" spans="1:24" x14ac:dyDescent="0.25">
      <c r="A42" s="219">
        <v>3</v>
      </c>
      <c r="B42" s="220" t="s">
        <v>24</v>
      </c>
      <c r="C42" s="219">
        <v>1</v>
      </c>
      <c r="D42" s="221" t="s">
        <v>36</v>
      </c>
      <c r="E42" s="222" t="s">
        <v>36</v>
      </c>
      <c r="F42" s="223">
        <f t="shared" si="3"/>
        <v>0.56548667764616278</v>
      </c>
      <c r="G42" s="341">
        <v>0.18</v>
      </c>
      <c r="H42" s="18">
        <v>1.1000000000000001</v>
      </c>
      <c r="I42" s="224">
        <v>1.5E-3</v>
      </c>
      <c r="J42" s="221" t="s">
        <v>36</v>
      </c>
      <c r="K42" s="222" t="s">
        <v>36</v>
      </c>
      <c r="L42" s="341">
        <v>0.21</v>
      </c>
      <c r="M42" s="224">
        <v>4.1200000000000001E-2</v>
      </c>
      <c r="N42" s="221" t="s">
        <v>36</v>
      </c>
      <c r="O42" s="222" t="s">
        <v>36</v>
      </c>
      <c r="P42" s="341">
        <v>0.28000000000000003</v>
      </c>
      <c r="Q42" s="224">
        <v>0.41</v>
      </c>
      <c r="R42" s="73">
        <v>0.36</v>
      </c>
      <c r="S42" s="225">
        <v>0.36</v>
      </c>
      <c r="T42" s="341">
        <f t="shared" si="1"/>
        <v>0.36</v>
      </c>
      <c r="U42" s="226">
        <v>1.27</v>
      </c>
      <c r="V42" s="88">
        <f t="shared" si="4"/>
        <v>0.71110559892456993</v>
      </c>
      <c r="W42" s="88">
        <f t="shared" si="5"/>
        <v>2.5446900494077322E-2</v>
      </c>
      <c r="X42" s="14">
        <f t="shared" si="2"/>
        <v>1.2050000000000001</v>
      </c>
    </row>
    <row r="43" spans="1:24" x14ac:dyDescent="0.25">
      <c r="A43" s="219">
        <v>4</v>
      </c>
      <c r="B43" s="220" t="s">
        <v>25</v>
      </c>
      <c r="C43" s="219">
        <v>1</v>
      </c>
      <c r="D43" s="221" t="s">
        <v>36</v>
      </c>
      <c r="E43" s="222" t="s">
        <v>36</v>
      </c>
      <c r="F43" s="223">
        <f t="shared" si="3"/>
        <v>0.62831853071795862</v>
      </c>
      <c r="G43" s="341">
        <v>0.2</v>
      </c>
      <c r="H43" s="18">
        <v>1.1000000000000001</v>
      </c>
      <c r="I43" s="224">
        <v>1.5E-3</v>
      </c>
      <c r="J43" s="221" t="s">
        <v>36</v>
      </c>
      <c r="K43" s="222" t="s">
        <v>36</v>
      </c>
      <c r="L43" s="341">
        <v>0.23</v>
      </c>
      <c r="M43" s="224">
        <v>4.1200000000000001E-2</v>
      </c>
      <c r="N43" s="221" t="s">
        <v>36</v>
      </c>
      <c r="O43" s="222" t="s">
        <v>36</v>
      </c>
      <c r="P43" s="341">
        <v>0.3</v>
      </c>
      <c r="Q43" s="224">
        <v>0.41</v>
      </c>
      <c r="R43" s="73">
        <v>0.38</v>
      </c>
      <c r="S43" s="225">
        <v>0.38</v>
      </c>
      <c r="T43" s="341">
        <f t="shared" si="1"/>
        <v>0.38</v>
      </c>
      <c r="U43" s="224">
        <v>1.27</v>
      </c>
      <c r="V43" s="88">
        <f>(C43*(((G43/(2*H43)*LN(L43/G43))+(G43/(2*M43)*LN(P43/L43))))+(U43*(G43/(2*Q43)*LN(T43/P43))))</f>
        <v>0.73083909296473182</v>
      </c>
      <c r="W43" s="88">
        <f t="shared" si="5"/>
        <v>3.1415926535897934E-2</v>
      </c>
      <c r="X43" s="14">
        <f t="shared" si="2"/>
        <v>1.2050000000000001</v>
      </c>
    </row>
    <row r="44" spans="1:24" x14ac:dyDescent="0.25">
      <c r="A44" s="219">
        <v>5</v>
      </c>
      <c r="B44" s="220" t="s">
        <v>26</v>
      </c>
      <c r="C44" s="219">
        <v>1</v>
      </c>
      <c r="D44" s="221" t="s">
        <v>36</v>
      </c>
      <c r="E44" s="222" t="s">
        <v>36</v>
      </c>
      <c r="F44" s="227">
        <f t="shared" si="3"/>
        <v>0.69115038378975446</v>
      </c>
      <c r="G44" s="341">
        <v>0.22</v>
      </c>
      <c r="H44" s="18">
        <v>1.1000000000000001</v>
      </c>
      <c r="I44" s="224">
        <v>1.5E-3</v>
      </c>
      <c r="J44" s="221" t="s">
        <v>36</v>
      </c>
      <c r="K44" s="222" t="s">
        <v>36</v>
      </c>
      <c r="L44" s="341">
        <v>0.25</v>
      </c>
      <c r="M44" s="224">
        <v>4.1200000000000001E-2</v>
      </c>
      <c r="N44" s="221" t="s">
        <v>36</v>
      </c>
      <c r="O44" s="222" t="s">
        <v>36</v>
      </c>
      <c r="P44" s="341">
        <v>0.32</v>
      </c>
      <c r="Q44" s="224">
        <v>0.41</v>
      </c>
      <c r="R44" s="73">
        <v>0.4</v>
      </c>
      <c r="S44" s="225">
        <v>0.4</v>
      </c>
      <c r="T44" s="341">
        <f t="shared" si="1"/>
        <v>0.40000000000000008</v>
      </c>
      <c r="U44" s="224">
        <v>1.27</v>
      </c>
      <c r="V44" s="88">
        <f t="shared" si="4"/>
        <v>0.74790786144639065</v>
      </c>
      <c r="W44" s="88">
        <f t="shared" si="5"/>
        <v>3.8013271108436497E-2</v>
      </c>
      <c r="X44" s="14">
        <f t="shared" si="2"/>
        <v>1.2050000000000001</v>
      </c>
    </row>
    <row r="45" spans="1:24" x14ac:dyDescent="0.25">
      <c r="A45" s="304">
        <v>6</v>
      </c>
      <c r="B45" s="305" t="s">
        <v>27</v>
      </c>
      <c r="C45" s="304">
        <v>1</v>
      </c>
      <c r="D45" s="311" t="s">
        <v>36</v>
      </c>
      <c r="E45" s="307" t="s">
        <v>36</v>
      </c>
      <c r="F45" s="227">
        <f>G45*PI()</f>
        <v>0.78539816339744828</v>
      </c>
      <c r="G45" s="341">
        <v>0.25</v>
      </c>
      <c r="H45" s="307">
        <v>1.1000000000000001</v>
      </c>
      <c r="I45" s="308">
        <v>1.5E-3</v>
      </c>
      <c r="J45" s="311" t="s">
        <v>36</v>
      </c>
      <c r="K45" s="307" t="s">
        <v>36</v>
      </c>
      <c r="L45" s="338">
        <v>0.28000000000000003</v>
      </c>
      <c r="M45" s="308">
        <v>4.1200000000000001E-2</v>
      </c>
      <c r="N45" s="311" t="s">
        <v>36</v>
      </c>
      <c r="O45" s="307" t="s">
        <v>36</v>
      </c>
      <c r="P45" s="338">
        <v>0.35</v>
      </c>
      <c r="Q45" s="308">
        <v>0.41</v>
      </c>
      <c r="R45" s="313">
        <v>0.43</v>
      </c>
      <c r="S45" s="310">
        <v>0.43</v>
      </c>
      <c r="T45" s="338">
        <f>(R45*S45*4)/(R45*2+S45*2)</f>
        <v>0.42999999999999994</v>
      </c>
      <c r="U45" s="308">
        <v>1.27</v>
      </c>
      <c r="V45" s="88">
        <f t="shared" si="4"/>
        <v>0.76959637272828219</v>
      </c>
      <c r="W45" s="88">
        <f t="shared" si="5"/>
        <v>4.9087385212340517E-2</v>
      </c>
      <c r="X45" s="14">
        <f t="shared" si="2"/>
        <v>1.2050000000000001</v>
      </c>
    </row>
    <row r="46" spans="1:24" x14ac:dyDescent="0.25">
      <c r="A46" s="304">
        <v>7</v>
      </c>
      <c r="B46" s="329" t="s">
        <v>396</v>
      </c>
      <c r="C46" s="304">
        <v>1</v>
      </c>
      <c r="D46" s="311" t="s">
        <v>36</v>
      </c>
      <c r="E46" s="307" t="s">
        <v>36</v>
      </c>
      <c r="F46" s="227">
        <f>G46*PI()</f>
        <v>0.87964594300514221</v>
      </c>
      <c r="G46" s="341">
        <v>0.28000000000000003</v>
      </c>
      <c r="H46" s="307">
        <v>1.1000000000000001</v>
      </c>
      <c r="I46" s="308">
        <v>1.5E-3</v>
      </c>
      <c r="J46" s="311" t="s">
        <v>36</v>
      </c>
      <c r="K46" s="307" t="s">
        <v>36</v>
      </c>
      <c r="L46" s="338">
        <v>0.31</v>
      </c>
      <c r="M46" s="308">
        <v>4.1200000000000001E-2</v>
      </c>
      <c r="N46" s="311" t="s">
        <v>36</v>
      </c>
      <c r="O46" s="307" t="s">
        <v>36</v>
      </c>
      <c r="P46" s="338">
        <v>0.38</v>
      </c>
      <c r="Q46" s="308">
        <v>0.41</v>
      </c>
      <c r="R46" s="313">
        <v>0.46</v>
      </c>
      <c r="S46" s="310">
        <v>0.46</v>
      </c>
      <c r="T46" s="338">
        <f>(R46*S46*4)/(R46*2+S46*2)</f>
        <v>0.46</v>
      </c>
      <c r="U46" s="308">
        <v>1.27</v>
      </c>
      <c r="V46" s="88">
        <f>(C46*(((G46/(2*H46)*LN(L46/G46))+(G46/(2*M46)*LN(P46/L46))))+(U46*(G46/(2*Q46)*LN(T46/P46))))</f>
        <v>0.78764800551852676</v>
      </c>
      <c r="W46" s="88">
        <f>G46^2*PI()/4</f>
        <v>6.1575216010359951E-2</v>
      </c>
      <c r="X46" s="14">
        <f t="shared" si="2"/>
        <v>1.2050000000000001</v>
      </c>
    </row>
    <row r="47" spans="1:24" ht="14.25" thickBot="1" x14ac:dyDescent="0.3">
      <c r="A47" s="228">
        <v>8</v>
      </c>
      <c r="B47" s="330" t="s">
        <v>395</v>
      </c>
      <c r="C47" s="228">
        <v>1</v>
      </c>
      <c r="D47" s="230" t="s">
        <v>36</v>
      </c>
      <c r="E47" s="231" t="s">
        <v>36</v>
      </c>
      <c r="F47" s="232">
        <f t="shared" si="3"/>
        <v>0.94247779607693793</v>
      </c>
      <c r="G47" s="342">
        <v>0.3</v>
      </c>
      <c r="H47" s="63">
        <v>1.1000000000000001</v>
      </c>
      <c r="I47" s="233">
        <v>1.5E-3</v>
      </c>
      <c r="J47" s="230" t="s">
        <v>36</v>
      </c>
      <c r="K47" s="231" t="s">
        <v>36</v>
      </c>
      <c r="L47" s="342">
        <v>0.33</v>
      </c>
      <c r="M47" s="233">
        <v>4.1200000000000001E-2</v>
      </c>
      <c r="N47" s="230" t="s">
        <v>36</v>
      </c>
      <c r="O47" s="231" t="s">
        <v>36</v>
      </c>
      <c r="P47" s="342">
        <v>0.4</v>
      </c>
      <c r="Q47" s="233">
        <v>0.41</v>
      </c>
      <c r="R47" s="76">
        <v>0.48</v>
      </c>
      <c r="S47" s="234">
        <v>0.48</v>
      </c>
      <c r="T47" s="342">
        <f>(R47*S47*4)/(R47*2+S47*2)</f>
        <v>0.48</v>
      </c>
      <c r="U47" s="233">
        <v>1.27</v>
      </c>
      <c r="V47" s="88">
        <f t="shared" si="4"/>
        <v>0.79809276790018613</v>
      </c>
      <c r="W47" s="88">
        <f t="shared" si="5"/>
        <v>7.0685834705770348E-2</v>
      </c>
      <c r="X47" s="14">
        <f t="shared" si="2"/>
        <v>1.2050000000000001</v>
      </c>
    </row>
    <row r="48" spans="1:24" x14ac:dyDescent="0.25">
      <c r="A48" s="210">
        <v>9</v>
      </c>
      <c r="B48" s="211" t="s">
        <v>40</v>
      </c>
      <c r="C48" s="210">
        <v>1.27</v>
      </c>
      <c r="D48" s="235">
        <v>0.14000000000000001</v>
      </c>
      <c r="E48" s="215">
        <v>0.14000000000000001</v>
      </c>
      <c r="F48" s="91">
        <f t="shared" ref="F48:F55" si="6">2*(E48+D48)</f>
        <v>0.56000000000000005</v>
      </c>
      <c r="G48" s="394">
        <f>(D48*E48*4)/(D48*2+E48*2)</f>
        <v>0.14000000000000001</v>
      </c>
      <c r="H48" s="215">
        <v>1.1000000000000001</v>
      </c>
      <c r="I48" s="216">
        <v>1.5E-3</v>
      </c>
      <c r="J48" s="235">
        <v>0.18</v>
      </c>
      <c r="K48" s="215">
        <v>0.18</v>
      </c>
      <c r="L48" s="394">
        <f>(J48*K48*4)/(J48*2+K48*2)</f>
        <v>0.18</v>
      </c>
      <c r="M48" s="216">
        <v>4.4999999999999998E-2</v>
      </c>
      <c r="N48" s="235">
        <v>0.26</v>
      </c>
      <c r="O48" s="215">
        <v>0.26</v>
      </c>
      <c r="P48" s="394">
        <f>(N48*O48*4)/(N48*2+O48*2)</f>
        <v>0.26</v>
      </c>
      <c r="Q48" s="216">
        <v>0.53</v>
      </c>
      <c r="R48" s="151">
        <v>0.34</v>
      </c>
      <c r="S48" s="215">
        <v>0.34</v>
      </c>
      <c r="T48" s="394">
        <f t="shared" si="1"/>
        <v>0.34</v>
      </c>
      <c r="U48" s="216">
        <v>1.27</v>
      </c>
      <c r="V48" s="88">
        <f t="shared" si="4"/>
        <v>0.79176899501312281</v>
      </c>
      <c r="W48" s="88">
        <f>D48*E48</f>
        <v>1.9600000000000003E-2</v>
      </c>
      <c r="X48" s="14">
        <f t="shared" si="2"/>
        <v>1.2050000000000001</v>
      </c>
    </row>
    <row r="49" spans="1:24" x14ac:dyDescent="0.25">
      <c r="A49" s="219">
        <v>10</v>
      </c>
      <c r="B49" s="220" t="s">
        <v>41</v>
      </c>
      <c r="C49" s="219">
        <v>1.27</v>
      </c>
      <c r="D49" s="236">
        <v>0.16</v>
      </c>
      <c r="E49" s="18">
        <v>0.16</v>
      </c>
      <c r="F49" s="18">
        <f t="shared" si="6"/>
        <v>0.64</v>
      </c>
      <c r="G49" s="341">
        <f>(D49*E49*4)/(D49*2+E49*2)</f>
        <v>0.16</v>
      </c>
      <c r="H49" s="18">
        <v>1.1000000000000001</v>
      </c>
      <c r="I49" s="224">
        <v>1.5E-3</v>
      </c>
      <c r="J49" s="236">
        <v>0.21</v>
      </c>
      <c r="K49" s="18">
        <v>0.21</v>
      </c>
      <c r="L49" s="341">
        <f t="shared" ref="L49:L61" si="7">(J49*K49*4)/(J49*2+K49*2)</f>
        <v>0.20999999999999996</v>
      </c>
      <c r="M49" s="224">
        <v>4.4999999999999998E-2</v>
      </c>
      <c r="N49" s="236">
        <v>0.28999999999999998</v>
      </c>
      <c r="O49" s="18">
        <v>0.28999999999999998</v>
      </c>
      <c r="P49" s="341">
        <f t="shared" ref="P49:P61" si="8">(N49*O49*4)/(N49*2+O49*2)</f>
        <v>0.28999999999999998</v>
      </c>
      <c r="Q49" s="224">
        <v>0.53</v>
      </c>
      <c r="R49" s="114">
        <v>0.37</v>
      </c>
      <c r="S49" s="18">
        <v>0.37</v>
      </c>
      <c r="T49" s="341">
        <f t="shared" ref="T49:T61" si="9">(R49*S49*4)/(R49*2+S49*2)</f>
        <v>0.37</v>
      </c>
      <c r="U49" s="224">
        <v>1.27</v>
      </c>
      <c r="V49" s="88">
        <f t="shared" ref="V49:V63" si="10">(C49*(((G49/(2*H49)*LN(L49/G49))+(G49/(2*M49)*LN(P49/L49))))+(U49*(G49/(2*Q49)*LN(T49/P49))))</f>
        <v>0.80056927270259415</v>
      </c>
      <c r="W49" s="88">
        <f t="shared" ref="W49:W61" si="11">D49*E49</f>
        <v>2.5600000000000001E-2</v>
      </c>
      <c r="X49" s="14">
        <f t="shared" si="2"/>
        <v>1.2050000000000001</v>
      </c>
    </row>
    <row r="50" spans="1:24" x14ac:dyDescent="0.25">
      <c r="A50" s="219">
        <v>11</v>
      </c>
      <c r="B50" s="220" t="s">
        <v>42</v>
      </c>
      <c r="C50" s="219">
        <v>1.27</v>
      </c>
      <c r="D50" s="236">
        <v>0.18</v>
      </c>
      <c r="E50" s="18">
        <v>0.18</v>
      </c>
      <c r="F50" s="18">
        <f t="shared" si="6"/>
        <v>0.72</v>
      </c>
      <c r="G50" s="341">
        <f>(D50*E50*4)/(D50*2+E50*2)</f>
        <v>0.18</v>
      </c>
      <c r="H50" s="18">
        <v>1.1000000000000001</v>
      </c>
      <c r="I50" s="224">
        <v>1.5E-3</v>
      </c>
      <c r="J50" s="236">
        <v>0.23</v>
      </c>
      <c r="K50" s="18">
        <v>0.23</v>
      </c>
      <c r="L50" s="341">
        <f t="shared" si="7"/>
        <v>0.23</v>
      </c>
      <c r="M50" s="224">
        <v>4.4999999999999998E-2</v>
      </c>
      <c r="N50" s="236">
        <v>0.31</v>
      </c>
      <c r="O50" s="18">
        <v>0.31</v>
      </c>
      <c r="P50" s="341">
        <f t="shared" si="8"/>
        <v>0.31</v>
      </c>
      <c r="Q50" s="224">
        <v>0.53</v>
      </c>
      <c r="R50" s="114">
        <v>0.39</v>
      </c>
      <c r="S50" s="18">
        <v>0.39</v>
      </c>
      <c r="T50" s="341">
        <f t="shared" si="9"/>
        <v>0.39</v>
      </c>
      <c r="U50" s="224">
        <v>1.27</v>
      </c>
      <c r="V50" s="88">
        <f t="shared" si="10"/>
        <v>0.83315275342475814</v>
      </c>
      <c r="W50" s="88">
        <f t="shared" si="11"/>
        <v>3.2399999999999998E-2</v>
      </c>
      <c r="X50" s="14">
        <f t="shared" si="2"/>
        <v>1.2050000000000001</v>
      </c>
    </row>
    <row r="51" spans="1:24" x14ac:dyDescent="0.25">
      <c r="A51" s="219">
        <v>12</v>
      </c>
      <c r="B51" s="220" t="s">
        <v>43</v>
      </c>
      <c r="C51" s="219">
        <v>1.27</v>
      </c>
      <c r="D51" s="236">
        <v>0.2</v>
      </c>
      <c r="E51" s="18">
        <v>0.2</v>
      </c>
      <c r="F51" s="18">
        <f t="shared" si="6"/>
        <v>0.8</v>
      </c>
      <c r="G51" s="341">
        <f t="shared" ref="G51:G61" si="12">(D51*E51*4)/(D51*2+E51*2)</f>
        <v>0.20000000000000004</v>
      </c>
      <c r="H51" s="18">
        <v>1.1000000000000001</v>
      </c>
      <c r="I51" s="224">
        <v>1.5E-3</v>
      </c>
      <c r="J51" s="236">
        <v>0.25</v>
      </c>
      <c r="K51" s="18">
        <v>0.25</v>
      </c>
      <c r="L51" s="341">
        <f t="shared" si="7"/>
        <v>0.25</v>
      </c>
      <c r="M51" s="224">
        <v>4.4999999999999998E-2</v>
      </c>
      <c r="N51" s="236">
        <v>0.33</v>
      </c>
      <c r="O51" s="18">
        <v>0.33</v>
      </c>
      <c r="P51" s="341">
        <f t="shared" si="8"/>
        <v>0.33</v>
      </c>
      <c r="Q51" s="224">
        <v>0.53</v>
      </c>
      <c r="R51" s="114">
        <v>0.43</v>
      </c>
      <c r="S51" s="18">
        <v>0.43</v>
      </c>
      <c r="T51" s="341">
        <f t="shared" si="9"/>
        <v>0.42999999999999994</v>
      </c>
      <c r="U51" s="224">
        <v>1.27</v>
      </c>
      <c r="V51" s="88">
        <f t="shared" si="10"/>
        <v>0.872727722941679</v>
      </c>
      <c r="W51" s="88">
        <f t="shared" si="11"/>
        <v>4.0000000000000008E-2</v>
      </c>
      <c r="X51" s="14">
        <f t="shared" si="2"/>
        <v>1.2050000000000001</v>
      </c>
    </row>
    <row r="52" spans="1:24" ht="14.25" thickBot="1" x14ac:dyDescent="0.3">
      <c r="A52" s="228">
        <v>13</v>
      </c>
      <c r="B52" s="305" t="s">
        <v>44</v>
      </c>
      <c r="C52" s="304">
        <v>1.27</v>
      </c>
      <c r="D52" s="311">
        <v>0.25</v>
      </c>
      <c r="E52" s="307">
        <v>0.25</v>
      </c>
      <c r="F52" s="307">
        <f t="shared" si="6"/>
        <v>1</v>
      </c>
      <c r="G52" s="338">
        <f t="shared" si="12"/>
        <v>0.25</v>
      </c>
      <c r="H52" s="307">
        <v>1.1000000000000001</v>
      </c>
      <c r="I52" s="308">
        <v>1.5E-3</v>
      </c>
      <c r="J52" s="311">
        <v>0.31</v>
      </c>
      <c r="K52" s="307">
        <v>0.31</v>
      </c>
      <c r="L52" s="338">
        <f t="shared" si="7"/>
        <v>0.31</v>
      </c>
      <c r="M52" s="308">
        <v>4.4999999999999998E-2</v>
      </c>
      <c r="N52" s="311">
        <v>0.39</v>
      </c>
      <c r="O52" s="307">
        <v>0.39</v>
      </c>
      <c r="P52" s="338">
        <f t="shared" si="8"/>
        <v>0.39</v>
      </c>
      <c r="Q52" s="308">
        <v>0.53</v>
      </c>
      <c r="R52" s="309">
        <v>0.49</v>
      </c>
      <c r="S52" s="307">
        <v>0.49</v>
      </c>
      <c r="T52" s="338">
        <f t="shared" si="9"/>
        <v>0.49</v>
      </c>
      <c r="U52" s="308">
        <v>1.27</v>
      </c>
      <c r="V52" s="88">
        <f>(C52*(((G52/(2*H52)*LN(L52/G52))+(G52/(2*M52)*LN(P52/L52))))+(U52*(G52/(2*Q52)*LN(T52/P52))))</f>
        <v>0.90930202319275844</v>
      </c>
      <c r="W52" s="88">
        <f t="shared" si="11"/>
        <v>6.25E-2</v>
      </c>
      <c r="X52" s="14">
        <f t="shared" si="2"/>
        <v>1.2050000000000001</v>
      </c>
    </row>
    <row r="53" spans="1:24" x14ac:dyDescent="0.25">
      <c r="A53" s="314">
        <v>14</v>
      </c>
      <c r="B53" s="314" t="s">
        <v>48</v>
      </c>
      <c r="C53" s="323">
        <v>1.27</v>
      </c>
      <c r="D53" s="235">
        <v>0.14000000000000001</v>
      </c>
      <c r="E53" s="215">
        <v>0.14000000000000001</v>
      </c>
      <c r="F53" s="215">
        <f t="shared" si="6"/>
        <v>0.56000000000000005</v>
      </c>
      <c r="G53" s="394">
        <f t="shared" si="12"/>
        <v>0.14000000000000001</v>
      </c>
      <c r="H53" s="215">
        <v>0.8</v>
      </c>
      <c r="I53" s="252">
        <v>3.0000000000000001E-3</v>
      </c>
      <c r="J53" s="235">
        <v>0.16</v>
      </c>
      <c r="K53" s="215">
        <v>0.16</v>
      </c>
      <c r="L53" s="394">
        <f t="shared" si="7"/>
        <v>0.16</v>
      </c>
      <c r="M53" s="252">
        <v>0.8</v>
      </c>
      <c r="N53" s="235">
        <f t="shared" ref="N53:N61" si="13">J53+0.24</f>
        <v>0.4</v>
      </c>
      <c r="O53" s="215">
        <f t="shared" ref="O53:O61" si="14">K53+0.24</f>
        <v>0.4</v>
      </c>
      <c r="P53" s="394">
        <f t="shared" si="8"/>
        <v>0.40000000000000008</v>
      </c>
      <c r="Q53" s="216">
        <v>0.8</v>
      </c>
      <c r="R53" s="151">
        <f t="shared" ref="R53:R61" si="15">N53+0.05</f>
        <v>0.45</v>
      </c>
      <c r="S53" s="215">
        <f t="shared" ref="S53:S61" si="16">O53+0.05</f>
        <v>0.45</v>
      </c>
      <c r="T53" s="394">
        <f t="shared" si="9"/>
        <v>0.45</v>
      </c>
      <c r="U53" s="218">
        <v>1.27</v>
      </c>
      <c r="V53" s="88">
        <f>(C53*(((G53/(2*H53)*LN(L53/G53))+(G53/(2*M53)*LN(P53/L53))))+(U53*(G53/(2*Q53)*LN(T53/P53))))</f>
        <v>0.12975012342223119</v>
      </c>
      <c r="W53" s="88">
        <f t="shared" si="11"/>
        <v>1.9600000000000003E-2</v>
      </c>
      <c r="X53" s="14">
        <f t="shared" si="2"/>
        <v>1.31</v>
      </c>
    </row>
    <row r="54" spans="1:24" x14ac:dyDescent="0.25">
      <c r="A54" s="315">
        <v>15</v>
      </c>
      <c r="B54" s="315" t="s">
        <v>45</v>
      </c>
      <c r="C54" s="324">
        <v>1.27</v>
      </c>
      <c r="D54" s="236">
        <v>0.16</v>
      </c>
      <c r="E54" s="18">
        <v>0.16</v>
      </c>
      <c r="F54" s="18">
        <f t="shared" si="6"/>
        <v>0.64</v>
      </c>
      <c r="G54" s="341">
        <f t="shared" si="12"/>
        <v>0.16</v>
      </c>
      <c r="H54" s="18">
        <v>0.8</v>
      </c>
      <c r="I54" s="89">
        <v>3.0000000000000001E-3</v>
      </c>
      <c r="J54" s="236">
        <v>0.18</v>
      </c>
      <c r="K54" s="18">
        <v>0.18</v>
      </c>
      <c r="L54" s="341">
        <f t="shared" si="7"/>
        <v>0.18</v>
      </c>
      <c r="M54" s="89">
        <v>0.8</v>
      </c>
      <c r="N54" s="236">
        <f t="shared" si="13"/>
        <v>0.42</v>
      </c>
      <c r="O54" s="18">
        <f t="shared" si="14"/>
        <v>0.42</v>
      </c>
      <c r="P54" s="341">
        <f t="shared" si="8"/>
        <v>0.41999999999999993</v>
      </c>
      <c r="Q54" s="224">
        <v>0.8</v>
      </c>
      <c r="R54" s="114">
        <f t="shared" si="15"/>
        <v>0.47</v>
      </c>
      <c r="S54" s="18">
        <f t="shared" si="16"/>
        <v>0.47</v>
      </c>
      <c r="T54" s="341">
        <f t="shared" si="9"/>
        <v>0.47</v>
      </c>
      <c r="U54" s="226">
        <v>1.27</v>
      </c>
      <c r="V54" s="88">
        <f t="shared" si="10"/>
        <v>0.13684997769272519</v>
      </c>
      <c r="W54" s="88">
        <f>D54*E54</f>
        <v>2.5600000000000001E-2</v>
      </c>
      <c r="X54" s="14">
        <f t="shared" si="2"/>
        <v>1.31</v>
      </c>
    </row>
    <row r="55" spans="1:24" x14ac:dyDescent="0.25">
      <c r="A55" s="315">
        <v>16</v>
      </c>
      <c r="B55" s="315" t="s">
        <v>46</v>
      </c>
      <c r="C55" s="324">
        <v>1.27</v>
      </c>
      <c r="D55" s="236">
        <v>0.18</v>
      </c>
      <c r="E55" s="18">
        <v>0.18</v>
      </c>
      <c r="F55" s="18">
        <f t="shared" si="6"/>
        <v>0.72</v>
      </c>
      <c r="G55" s="341">
        <f t="shared" si="12"/>
        <v>0.18</v>
      </c>
      <c r="H55" s="18">
        <v>0.8</v>
      </c>
      <c r="I55" s="89">
        <v>3.0000000000000001E-3</v>
      </c>
      <c r="J55" s="236">
        <v>0.2</v>
      </c>
      <c r="K55" s="18">
        <v>0.2</v>
      </c>
      <c r="L55" s="341">
        <f t="shared" si="7"/>
        <v>0.20000000000000004</v>
      </c>
      <c r="M55" s="89">
        <v>0.8</v>
      </c>
      <c r="N55" s="236">
        <f t="shared" si="13"/>
        <v>0.44</v>
      </c>
      <c r="O55" s="18">
        <f t="shared" si="14"/>
        <v>0.44</v>
      </c>
      <c r="P55" s="341">
        <f t="shared" si="8"/>
        <v>0.44</v>
      </c>
      <c r="Q55" s="224">
        <v>0.8</v>
      </c>
      <c r="R55" s="114">
        <f t="shared" si="15"/>
        <v>0.49</v>
      </c>
      <c r="S55" s="18">
        <f t="shared" si="16"/>
        <v>0.49</v>
      </c>
      <c r="T55" s="341">
        <f t="shared" si="9"/>
        <v>0.49</v>
      </c>
      <c r="U55" s="226">
        <v>1.27</v>
      </c>
      <c r="V55" s="88">
        <f t="shared" si="10"/>
        <v>0.14308196018314123</v>
      </c>
      <c r="W55" s="88">
        <f t="shared" si="11"/>
        <v>3.2399999999999998E-2</v>
      </c>
      <c r="X55" s="14">
        <f t="shared" si="2"/>
        <v>1.31</v>
      </c>
    </row>
    <row r="56" spans="1:24" x14ac:dyDescent="0.25">
      <c r="A56" s="316">
        <v>17</v>
      </c>
      <c r="B56" s="315" t="s">
        <v>47</v>
      </c>
      <c r="C56" s="324">
        <v>1.27</v>
      </c>
      <c r="D56" s="236">
        <v>0.2</v>
      </c>
      <c r="E56" s="18">
        <v>0.2</v>
      </c>
      <c r="F56" s="18">
        <f t="shared" ref="F56:F61" si="17">2*(E56+D56)</f>
        <v>0.8</v>
      </c>
      <c r="G56" s="341">
        <f>(D56*E56*4)/(D56*2+E56*2)</f>
        <v>0.20000000000000004</v>
      </c>
      <c r="H56" s="18">
        <v>0.8</v>
      </c>
      <c r="I56" s="89">
        <v>3.0000000000000001E-3</v>
      </c>
      <c r="J56" s="236">
        <v>0.22</v>
      </c>
      <c r="K56" s="18">
        <v>0.22</v>
      </c>
      <c r="L56" s="341">
        <f>(J56*K56*4)/(J56*2+K56*2)</f>
        <v>0.22</v>
      </c>
      <c r="M56" s="89">
        <v>0.8</v>
      </c>
      <c r="N56" s="236">
        <f t="shared" si="13"/>
        <v>0.45999999999999996</v>
      </c>
      <c r="O56" s="18">
        <f t="shared" si="14"/>
        <v>0.45999999999999996</v>
      </c>
      <c r="P56" s="341">
        <f>(N56*O56*4)/(N56*2+O56*2)</f>
        <v>0.45999999999999996</v>
      </c>
      <c r="Q56" s="224">
        <v>0.8</v>
      </c>
      <c r="R56" s="114">
        <f t="shared" si="15"/>
        <v>0.51</v>
      </c>
      <c r="S56" s="18">
        <f t="shared" si="16"/>
        <v>0.51</v>
      </c>
      <c r="T56" s="341">
        <f>(R56*S56*4)/(R56*2+S56*2)</f>
        <v>0.51</v>
      </c>
      <c r="U56" s="226">
        <v>1.27</v>
      </c>
      <c r="V56" s="88">
        <f>(C56*(((G56/(2*H56)*LN(L56/G56))+(G56/(2*M56)*LN(P56/L56))))+(U56*(G56/(2*Q56)*LN(T56/P56))))</f>
        <v>0.14860482076829065</v>
      </c>
      <c r="W56" s="88">
        <f>D56*E56</f>
        <v>4.0000000000000008E-2</v>
      </c>
      <c r="X56" s="14">
        <f t="shared" si="2"/>
        <v>1.31</v>
      </c>
    </row>
    <row r="57" spans="1:24" x14ac:dyDescent="0.25">
      <c r="A57" s="316">
        <v>18</v>
      </c>
      <c r="B57" s="327" t="s">
        <v>402</v>
      </c>
      <c r="C57" s="324">
        <v>1.27</v>
      </c>
      <c r="D57" s="236">
        <v>0.25</v>
      </c>
      <c r="E57" s="18">
        <v>0.25</v>
      </c>
      <c r="F57" s="18">
        <f t="shared" si="17"/>
        <v>1</v>
      </c>
      <c r="G57" s="341">
        <f>(D57*E57*4)/(D57*2+E57*2)</f>
        <v>0.25</v>
      </c>
      <c r="H57" s="18">
        <v>0.8</v>
      </c>
      <c r="I57" s="89">
        <v>3.0000000000000001E-3</v>
      </c>
      <c r="J57" s="236">
        <f t="shared" ref="J57:K61" si="18">D57+0.02</f>
        <v>0.27</v>
      </c>
      <c r="K57" s="18">
        <f t="shared" si="18"/>
        <v>0.27</v>
      </c>
      <c r="L57" s="341">
        <f>(J57*K57*4)/(J57*2+K57*2)</f>
        <v>0.27</v>
      </c>
      <c r="M57" s="89">
        <v>0.8</v>
      </c>
      <c r="N57" s="236">
        <f t="shared" si="13"/>
        <v>0.51</v>
      </c>
      <c r="O57" s="18">
        <f t="shared" si="14"/>
        <v>0.51</v>
      </c>
      <c r="P57" s="341">
        <f>(N57*O57*4)/(N57*2+O57*2)</f>
        <v>0.51</v>
      </c>
      <c r="Q57" s="224">
        <v>0.8</v>
      </c>
      <c r="R57" s="114">
        <f t="shared" si="15"/>
        <v>0.56000000000000005</v>
      </c>
      <c r="S57" s="18">
        <f t="shared" si="16"/>
        <v>0.56000000000000005</v>
      </c>
      <c r="T57" s="341">
        <f>(R57*S57*4)/(R57*2+S57*2)</f>
        <v>0.56000000000000005</v>
      </c>
      <c r="U57" s="226">
        <v>1.27</v>
      </c>
      <c r="V57" s="88">
        <f>(C57*(((G57/(2*H57)*LN(L57/G57))+(G57/(2*M57)*LN(P57/L57))))+(U57*(G57/(2*Q57)*LN(T57/P57))))</f>
        <v>0.16003505463297263</v>
      </c>
      <c r="W57" s="88">
        <f>D57*E57</f>
        <v>6.25E-2</v>
      </c>
      <c r="X57" s="14">
        <f t="shared" si="2"/>
        <v>1.31</v>
      </c>
    </row>
    <row r="58" spans="1:24" x14ac:dyDescent="0.25">
      <c r="A58" s="316">
        <v>19</v>
      </c>
      <c r="B58" s="327" t="s">
        <v>403</v>
      </c>
      <c r="C58" s="324">
        <v>1.3</v>
      </c>
      <c r="D58" s="236">
        <v>0.25</v>
      </c>
      <c r="E58" s="18">
        <v>0.36</v>
      </c>
      <c r="F58" s="18">
        <f t="shared" si="17"/>
        <v>1.22</v>
      </c>
      <c r="G58" s="341">
        <f>(D58*E58*4)/(D58*2+E58*2)</f>
        <v>0.29508196721311475</v>
      </c>
      <c r="H58" s="18">
        <v>0.8</v>
      </c>
      <c r="I58" s="89">
        <v>3.0000000000000001E-3</v>
      </c>
      <c r="J58" s="236">
        <f t="shared" si="18"/>
        <v>0.27</v>
      </c>
      <c r="K58" s="18">
        <f t="shared" si="18"/>
        <v>0.38</v>
      </c>
      <c r="L58" s="341">
        <f>(J58*K58*4)/(J58*2+K58*2)</f>
        <v>0.31569230769230772</v>
      </c>
      <c r="M58" s="89">
        <v>0.8</v>
      </c>
      <c r="N58" s="236">
        <f t="shared" si="13"/>
        <v>0.51</v>
      </c>
      <c r="O58" s="18">
        <f t="shared" si="14"/>
        <v>0.62</v>
      </c>
      <c r="P58" s="341">
        <f>(N58*O58*4)/(N58*2+O58*2)</f>
        <v>0.55964601769911504</v>
      </c>
      <c r="Q58" s="224">
        <v>0.8</v>
      </c>
      <c r="R58" s="114">
        <f t="shared" si="15"/>
        <v>0.56000000000000005</v>
      </c>
      <c r="S58" s="18">
        <f t="shared" si="16"/>
        <v>0.67</v>
      </c>
      <c r="T58" s="341">
        <f>(R58*S58*4)/(R58*2+S58*2)</f>
        <v>0.61008130081300815</v>
      </c>
      <c r="U58" s="226">
        <v>1.3</v>
      </c>
      <c r="V58" s="88">
        <f>(C58*(((G58/(2*H58)*LN(L58/G58))+(G58/(2*M58)*LN(P58/L58))))+(U58*(G58/(2*Q58)*LN(T58/P58))))</f>
        <v>0.17414276538015511</v>
      </c>
      <c r="W58" s="88">
        <f>D58*E58</f>
        <v>0.09</v>
      </c>
      <c r="X58" s="14">
        <f t="shared" si="2"/>
        <v>1.31</v>
      </c>
    </row>
    <row r="59" spans="1:24" x14ac:dyDescent="0.25">
      <c r="A59" s="316">
        <v>20</v>
      </c>
      <c r="B59" s="327" t="s">
        <v>404</v>
      </c>
      <c r="C59" s="324">
        <v>1.27</v>
      </c>
      <c r="D59" s="236">
        <v>0.36</v>
      </c>
      <c r="E59" s="18">
        <v>0.36</v>
      </c>
      <c r="F59" s="18">
        <f t="shared" si="17"/>
        <v>1.44</v>
      </c>
      <c r="G59" s="341">
        <f>(D59*E59*4)/(D59*2+E59*2)</f>
        <v>0.36</v>
      </c>
      <c r="H59" s="18">
        <v>0.8</v>
      </c>
      <c r="I59" s="89">
        <v>3.0000000000000001E-3</v>
      </c>
      <c r="J59" s="236">
        <f t="shared" si="18"/>
        <v>0.38</v>
      </c>
      <c r="K59" s="18">
        <f t="shared" si="18"/>
        <v>0.38</v>
      </c>
      <c r="L59" s="341">
        <f>(J59*K59*4)/(J59*2+K59*2)</f>
        <v>0.38</v>
      </c>
      <c r="M59" s="89">
        <v>0.8</v>
      </c>
      <c r="N59" s="236">
        <f t="shared" si="13"/>
        <v>0.62</v>
      </c>
      <c r="O59" s="18">
        <f t="shared" si="14"/>
        <v>0.62</v>
      </c>
      <c r="P59" s="341">
        <f>(N59*O59*4)/(N59*2+O59*2)</f>
        <v>0.62</v>
      </c>
      <c r="Q59" s="224">
        <v>0.8</v>
      </c>
      <c r="R59" s="114">
        <f t="shared" si="15"/>
        <v>0.67</v>
      </c>
      <c r="S59" s="18">
        <f t="shared" si="16"/>
        <v>0.67</v>
      </c>
      <c r="T59" s="341">
        <f>(R59*S59*4)/(R59*2+S59*2)</f>
        <v>0.67</v>
      </c>
      <c r="U59" s="226">
        <v>1.27</v>
      </c>
      <c r="V59" s="88">
        <f>(C59*(((G59/(2*H59)*LN(L59/G59))+(G59/(2*M59)*LN(P59/L59))))+(U59*(G59/(2*Q59)*LN(T59/P59))))</f>
        <v>0.17750037932713514</v>
      </c>
      <c r="W59" s="88">
        <f>D59*E59</f>
        <v>0.12959999999999999</v>
      </c>
      <c r="X59" s="14">
        <f t="shared" si="2"/>
        <v>1.31</v>
      </c>
    </row>
    <row r="60" spans="1:24" x14ac:dyDescent="0.25">
      <c r="A60" s="316">
        <v>21</v>
      </c>
      <c r="B60" s="327" t="s">
        <v>405</v>
      </c>
      <c r="C60" s="324">
        <v>1.3</v>
      </c>
      <c r="D60" s="236">
        <v>0.5</v>
      </c>
      <c r="E60" s="18">
        <v>0.36</v>
      </c>
      <c r="F60" s="18">
        <f t="shared" si="17"/>
        <v>1.72</v>
      </c>
      <c r="G60" s="341">
        <f>(D60*E60*4)/(D60*2+E60*2)</f>
        <v>0.41860465116279066</v>
      </c>
      <c r="H60" s="18">
        <v>0.8</v>
      </c>
      <c r="I60" s="89">
        <v>3.0000000000000001E-3</v>
      </c>
      <c r="J60" s="236">
        <f t="shared" si="18"/>
        <v>0.52</v>
      </c>
      <c r="K60" s="18">
        <f t="shared" si="18"/>
        <v>0.38</v>
      </c>
      <c r="L60" s="341">
        <f>(J60*K60*4)/(J60*2+K60*2)</f>
        <v>0.43911111111111112</v>
      </c>
      <c r="M60" s="89">
        <v>0.8</v>
      </c>
      <c r="N60" s="236">
        <f t="shared" si="13"/>
        <v>0.76</v>
      </c>
      <c r="O60" s="18">
        <f t="shared" si="14"/>
        <v>0.62</v>
      </c>
      <c r="P60" s="341">
        <f>(N60*O60*4)/(N60*2+O60*2)</f>
        <v>0.68289855072463779</v>
      </c>
      <c r="Q60" s="224">
        <v>0.8</v>
      </c>
      <c r="R60" s="114">
        <f t="shared" si="15"/>
        <v>0.81</v>
      </c>
      <c r="S60" s="18">
        <f t="shared" si="16"/>
        <v>0.67</v>
      </c>
      <c r="T60" s="341">
        <f>(R60*S60*4)/(R60*2+S60*2)</f>
        <v>0.73337837837837849</v>
      </c>
      <c r="U60" s="226">
        <v>1.3</v>
      </c>
      <c r="V60" s="88">
        <f>(C60*(((G60/(2*H60)*LN(L60/G60))+(G60/(2*M60)*LN(P60/L60))))+(U60*(G60/(2*Q60)*LN(T60/P60))))</f>
        <v>0.19071505163435867</v>
      </c>
      <c r="W60" s="88">
        <f>D60*E60</f>
        <v>0.18</v>
      </c>
      <c r="X60" s="14">
        <f t="shared" si="2"/>
        <v>1.31</v>
      </c>
    </row>
    <row r="61" spans="1:24" ht="14.25" thickBot="1" x14ac:dyDescent="0.3">
      <c r="A61" s="317">
        <v>22</v>
      </c>
      <c r="B61" s="328" t="s">
        <v>401</v>
      </c>
      <c r="C61" s="325">
        <v>1.27</v>
      </c>
      <c r="D61" s="237">
        <v>0.5</v>
      </c>
      <c r="E61" s="63">
        <v>0.5</v>
      </c>
      <c r="F61" s="63">
        <f t="shared" si="17"/>
        <v>2</v>
      </c>
      <c r="G61" s="342">
        <f t="shared" si="12"/>
        <v>0.5</v>
      </c>
      <c r="H61" s="63">
        <v>0.8</v>
      </c>
      <c r="I61" s="260">
        <v>3.0000000000000001E-3</v>
      </c>
      <c r="J61" s="237">
        <f t="shared" si="18"/>
        <v>0.52</v>
      </c>
      <c r="K61" s="63">
        <f t="shared" si="18"/>
        <v>0.52</v>
      </c>
      <c r="L61" s="342">
        <f t="shared" si="7"/>
        <v>0.52</v>
      </c>
      <c r="M61" s="260">
        <v>0.8</v>
      </c>
      <c r="N61" s="237">
        <f t="shared" si="13"/>
        <v>0.76</v>
      </c>
      <c r="O61" s="63">
        <f t="shared" si="14"/>
        <v>0.76</v>
      </c>
      <c r="P61" s="342">
        <f t="shared" si="8"/>
        <v>0.76</v>
      </c>
      <c r="Q61" s="233">
        <v>0.8</v>
      </c>
      <c r="R61" s="83">
        <f t="shared" si="15"/>
        <v>0.81</v>
      </c>
      <c r="S61" s="63">
        <f t="shared" si="16"/>
        <v>0.81</v>
      </c>
      <c r="T61" s="342">
        <f t="shared" si="9"/>
        <v>0.81</v>
      </c>
      <c r="U61" s="326">
        <v>1.27</v>
      </c>
      <c r="V61" s="88">
        <f t="shared" si="10"/>
        <v>0.19146287798132872</v>
      </c>
      <c r="W61" s="88">
        <f t="shared" si="11"/>
        <v>0.25</v>
      </c>
      <c r="X61" s="14">
        <f t="shared" si="2"/>
        <v>1.31</v>
      </c>
    </row>
    <row r="62" spans="1:24" x14ac:dyDescent="0.25">
      <c r="A62" s="210">
        <v>23</v>
      </c>
      <c r="B62" s="318" t="s">
        <v>50</v>
      </c>
      <c r="C62" s="319">
        <v>1</v>
      </c>
      <c r="D62" s="253" t="s">
        <v>36</v>
      </c>
      <c r="E62" s="254" t="s">
        <v>36</v>
      </c>
      <c r="F62" s="227">
        <f>G62*PI()</f>
        <v>0.40840704496667313</v>
      </c>
      <c r="G62" s="321">
        <v>0.13</v>
      </c>
      <c r="H62" s="91">
        <v>60</v>
      </c>
      <c r="I62" s="320">
        <v>1E-3</v>
      </c>
      <c r="J62" s="253" t="s">
        <v>36</v>
      </c>
      <c r="K62" s="254" t="s">
        <v>36</v>
      </c>
      <c r="L62" s="321">
        <v>0.14199999999999999</v>
      </c>
      <c r="M62" s="320">
        <v>4.4999999999999998E-2</v>
      </c>
      <c r="N62" s="253" t="s">
        <v>36</v>
      </c>
      <c r="O62" s="254" t="s">
        <v>36</v>
      </c>
      <c r="P62" s="321">
        <v>0.19400000000000001</v>
      </c>
      <c r="Q62" s="320">
        <v>60</v>
      </c>
      <c r="R62" s="322" t="s">
        <v>36</v>
      </c>
      <c r="S62" s="254" t="s">
        <v>36</v>
      </c>
      <c r="T62" s="321">
        <v>0.20599999999999999</v>
      </c>
      <c r="U62" s="320">
        <v>1</v>
      </c>
      <c r="V62" s="88">
        <f t="shared" si="10"/>
        <v>0.45087226083570886</v>
      </c>
      <c r="W62" s="88">
        <f t="shared" ref="W62:W67" si="19">G62^2*PI()/4</f>
        <v>1.3273228961416878E-2</v>
      </c>
      <c r="X62" s="14">
        <f t="shared" si="2"/>
        <v>1.1499999999999999</v>
      </c>
    </row>
    <row r="63" spans="1:24" x14ac:dyDescent="0.25">
      <c r="A63" s="219">
        <v>24</v>
      </c>
      <c r="B63" s="220" t="s">
        <v>49</v>
      </c>
      <c r="C63" s="219">
        <v>1</v>
      </c>
      <c r="D63" s="221" t="s">
        <v>36</v>
      </c>
      <c r="E63" s="222" t="s">
        <v>36</v>
      </c>
      <c r="F63" s="223">
        <f>G63*PI()</f>
        <v>0.47123889803846897</v>
      </c>
      <c r="G63" s="341">
        <v>0.15</v>
      </c>
      <c r="H63" s="18">
        <v>60</v>
      </c>
      <c r="I63" s="224">
        <v>1E-3</v>
      </c>
      <c r="J63" s="221" t="s">
        <v>36</v>
      </c>
      <c r="K63" s="222" t="s">
        <v>36</v>
      </c>
      <c r="L63" s="341">
        <v>0.16200000000000001</v>
      </c>
      <c r="M63" s="224">
        <v>4.4999999999999998E-2</v>
      </c>
      <c r="N63" s="221" t="s">
        <v>36</v>
      </c>
      <c r="O63" s="222" t="s">
        <v>36</v>
      </c>
      <c r="P63" s="341">
        <v>0.214</v>
      </c>
      <c r="Q63" s="224">
        <v>60</v>
      </c>
      <c r="R63" s="239" t="s">
        <v>36</v>
      </c>
      <c r="S63" s="222" t="s">
        <v>36</v>
      </c>
      <c r="T63" s="341">
        <v>0.22600000000000001</v>
      </c>
      <c r="U63" s="224">
        <v>1</v>
      </c>
      <c r="V63" s="88">
        <f t="shared" si="10"/>
        <v>0.46413053301417878</v>
      </c>
      <c r="W63" s="88">
        <f t="shared" si="19"/>
        <v>1.7671458676442587E-2</v>
      </c>
      <c r="X63" s="14">
        <f t="shared" si="2"/>
        <v>1.1499999999999999</v>
      </c>
    </row>
    <row r="64" spans="1:24" x14ac:dyDescent="0.25">
      <c r="A64" s="219">
        <v>25</v>
      </c>
      <c r="B64" s="220" t="s">
        <v>51</v>
      </c>
      <c r="C64" s="219">
        <v>1</v>
      </c>
      <c r="D64" s="221" t="s">
        <v>36</v>
      </c>
      <c r="E64" s="222" t="s">
        <v>36</v>
      </c>
      <c r="F64" s="223">
        <f>G64*PI()</f>
        <v>0.56548667764616278</v>
      </c>
      <c r="G64" s="341">
        <v>0.18</v>
      </c>
      <c r="H64" s="18">
        <v>60</v>
      </c>
      <c r="I64" s="224">
        <v>1E-3</v>
      </c>
      <c r="J64" s="221" t="s">
        <v>36</v>
      </c>
      <c r="K64" s="222" t="s">
        <v>36</v>
      </c>
      <c r="L64" s="341">
        <v>0.192</v>
      </c>
      <c r="M64" s="224">
        <v>4.4999999999999998E-2</v>
      </c>
      <c r="N64" s="221" t="s">
        <v>36</v>
      </c>
      <c r="O64" s="222" t="s">
        <v>36</v>
      </c>
      <c r="P64" s="341">
        <v>0.24399999999999999</v>
      </c>
      <c r="Q64" s="224">
        <v>60</v>
      </c>
      <c r="R64" s="239" t="s">
        <v>36</v>
      </c>
      <c r="S64" s="222" t="s">
        <v>36</v>
      </c>
      <c r="T64" s="341">
        <v>0.25600000000000001</v>
      </c>
      <c r="U64" s="224">
        <v>1</v>
      </c>
      <c r="V64" s="88">
        <f>(C64*(((G64/(2*H64)*LN(L64/G64))+(G64/(2*M64)*LN(P64/L64))))+(U64*(G64/(2*Q64)*LN(T64/P64))))</f>
        <v>0.47951452814132639</v>
      </c>
      <c r="W64" s="88">
        <f t="shared" si="19"/>
        <v>2.5446900494077322E-2</v>
      </c>
      <c r="X64" s="14">
        <f t="shared" si="2"/>
        <v>1.1499999999999999</v>
      </c>
    </row>
    <row r="65" spans="1:24" x14ac:dyDescent="0.25">
      <c r="A65" s="219">
        <v>26</v>
      </c>
      <c r="B65" s="220" t="s">
        <v>52</v>
      </c>
      <c r="C65" s="219">
        <v>1</v>
      </c>
      <c r="D65" s="221" t="s">
        <v>36</v>
      </c>
      <c r="E65" s="222" t="s">
        <v>36</v>
      </c>
      <c r="F65" s="223">
        <f>G65*PI()</f>
        <v>0.62831853071795862</v>
      </c>
      <c r="G65" s="341">
        <v>0.2</v>
      </c>
      <c r="H65" s="18">
        <v>60</v>
      </c>
      <c r="I65" s="224">
        <v>1E-3</v>
      </c>
      <c r="J65" s="221" t="s">
        <v>36</v>
      </c>
      <c r="K65" s="222" t="s">
        <v>36</v>
      </c>
      <c r="L65" s="341">
        <v>0.21199999999999999</v>
      </c>
      <c r="M65" s="224">
        <v>4.4999999999999998E-2</v>
      </c>
      <c r="N65" s="221" t="s">
        <v>36</v>
      </c>
      <c r="O65" s="222" t="s">
        <v>36</v>
      </c>
      <c r="P65" s="341">
        <v>0.26400000000000001</v>
      </c>
      <c r="Q65" s="224">
        <v>60</v>
      </c>
      <c r="R65" s="239" t="s">
        <v>36</v>
      </c>
      <c r="S65" s="222" t="s">
        <v>36</v>
      </c>
      <c r="T65" s="341">
        <v>0.27600000000000002</v>
      </c>
      <c r="U65" s="224">
        <v>1</v>
      </c>
      <c r="V65" s="88">
        <f>(C65*(((G65/(2*H65)*LN(L65/G65))+(G65/(2*M65)*LN(P65/L65))))+(U65*(G65/(2*Q65)*LN(T65/P65))))</f>
        <v>0.48764415328294441</v>
      </c>
      <c r="W65" s="88">
        <f t="shared" si="19"/>
        <v>3.1415926535897934E-2</v>
      </c>
      <c r="X65" s="14">
        <f t="shared" si="2"/>
        <v>1.1499999999999999</v>
      </c>
    </row>
    <row r="66" spans="1:24" ht="14.25" thickBot="1" x14ac:dyDescent="0.3">
      <c r="A66" s="228">
        <v>27</v>
      </c>
      <c r="B66" s="229" t="s">
        <v>53</v>
      </c>
      <c r="C66" s="228">
        <v>1</v>
      </c>
      <c r="D66" s="230" t="s">
        <v>36</v>
      </c>
      <c r="E66" s="231" t="s">
        <v>36</v>
      </c>
      <c r="F66" s="232">
        <f>G66*PI()</f>
        <v>0.78539816339744828</v>
      </c>
      <c r="G66" s="342">
        <v>0.25</v>
      </c>
      <c r="H66" s="63">
        <v>60</v>
      </c>
      <c r="I66" s="233">
        <v>1E-3</v>
      </c>
      <c r="J66" s="230" t="s">
        <v>36</v>
      </c>
      <c r="K66" s="231" t="s">
        <v>36</v>
      </c>
      <c r="L66" s="342">
        <v>0.26200000000000001</v>
      </c>
      <c r="M66" s="233">
        <v>4.4999999999999998E-2</v>
      </c>
      <c r="N66" s="230" t="s">
        <v>36</v>
      </c>
      <c r="O66" s="231" t="s">
        <v>36</v>
      </c>
      <c r="P66" s="342">
        <v>0.314</v>
      </c>
      <c r="Q66" s="233">
        <v>60</v>
      </c>
      <c r="R66" s="240" t="s">
        <v>36</v>
      </c>
      <c r="S66" s="231" t="s">
        <v>36</v>
      </c>
      <c r="T66" s="342">
        <v>0.32600000000000001</v>
      </c>
      <c r="U66" s="233">
        <v>1</v>
      </c>
      <c r="V66" s="88">
        <f>(C66*(((G66/(2*H66)*LN(L66/G66))+(G66/(2*M66)*LN(P66/L66))))+(U66*(G66/(2*Q66)*LN(T66/P66))))</f>
        <v>0.50308825870326213</v>
      </c>
      <c r="W66" s="88">
        <f t="shared" si="19"/>
        <v>4.9087385212340517E-2</v>
      </c>
      <c r="X66" s="14">
        <f t="shared" si="2"/>
        <v>1.1499999999999999</v>
      </c>
    </row>
    <row r="67" spans="1:24" ht="14.25" thickBot="1" x14ac:dyDescent="0.3">
      <c r="A67" s="122">
        <v>28</v>
      </c>
      <c r="B67" s="241" t="s">
        <v>54</v>
      </c>
      <c r="C67" s="33"/>
      <c r="D67" s="242"/>
      <c r="E67" s="243"/>
      <c r="F67" s="122">
        <f>2*(E67+D67)</f>
        <v>0</v>
      </c>
      <c r="G67" s="244" t="e">
        <f>(D67*E67*4)/(D67*2+E67*2)</f>
        <v>#DIV/0!</v>
      </c>
      <c r="H67" s="245"/>
      <c r="I67" s="246"/>
      <c r="J67" s="242"/>
      <c r="K67" s="243"/>
      <c r="L67" s="55" t="e">
        <f>(J67*K67*4)/(J67*2+K67*2)</f>
        <v>#DIV/0!</v>
      </c>
      <c r="M67" s="241"/>
      <c r="N67" s="242"/>
      <c r="O67" s="243"/>
      <c r="P67" s="55" t="e">
        <f>(N67*O67*4)/(N67*2+O67*2)</f>
        <v>#DIV/0!</v>
      </c>
      <c r="Q67" s="241"/>
      <c r="R67" s="245"/>
      <c r="S67" s="243"/>
      <c r="T67" s="55" t="e">
        <f>(R67*S67*4)/(R67*2+S67*2)</f>
        <v>#DIV/0!</v>
      </c>
      <c r="U67" s="241"/>
      <c r="V67" s="88" t="e">
        <f>(C67*(((G67/(2*H67)*LN(L67/G67))+(G67/(2*M67)*LN(P67/L67))))+(U67*(G67/(2*Q67)*LN(T67/P67))))</f>
        <v>#DIV/0!</v>
      </c>
      <c r="W67" s="247" t="e">
        <f t="shared" si="19"/>
        <v>#DIV/0!</v>
      </c>
      <c r="X67" s="14" t="e">
        <f t="shared" si="2"/>
        <v>#N/A</v>
      </c>
    </row>
    <row r="72" spans="1:24" x14ac:dyDescent="0.25">
      <c r="A72" s="87" t="s">
        <v>30</v>
      </c>
    </row>
    <row r="73" spans="1:24" ht="14.25" thickBot="1" x14ac:dyDescent="0.3"/>
    <row r="74" spans="1:24" ht="14.25" thickBot="1" x14ac:dyDescent="0.3">
      <c r="D74" s="203" t="s">
        <v>31</v>
      </c>
      <c r="E74" s="200"/>
      <c r="F74" s="200"/>
      <c r="G74" s="200"/>
      <c r="H74" s="200"/>
      <c r="I74" s="200"/>
      <c r="J74" s="203" t="s">
        <v>32</v>
      </c>
      <c r="K74" s="200"/>
      <c r="L74" s="200"/>
      <c r="M74" s="204"/>
      <c r="N74" s="203" t="s">
        <v>33</v>
      </c>
      <c r="O74" s="200"/>
      <c r="P74" s="200"/>
      <c r="Q74" s="204"/>
      <c r="R74" s="200" t="s">
        <v>37</v>
      </c>
      <c r="S74" s="200"/>
      <c r="T74" s="200"/>
      <c r="U74" s="204"/>
      <c r="V74" s="14" t="s">
        <v>38</v>
      </c>
      <c r="W74" s="117" t="s">
        <v>62</v>
      </c>
      <c r="X74" s="32" t="s">
        <v>412</v>
      </c>
    </row>
    <row r="75" spans="1:24" ht="15.75" thickBot="1" x14ac:dyDescent="0.35">
      <c r="A75" s="205" t="s">
        <v>28</v>
      </c>
      <c r="B75" s="204" t="s">
        <v>29</v>
      </c>
      <c r="C75" s="206" t="s">
        <v>34</v>
      </c>
      <c r="D75" s="207" t="s">
        <v>56</v>
      </c>
      <c r="E75" s="208" t="s">
        <v>35</v>
      </c>
      <c r="F75" s="195" t="s">
        <v>75</v>
      </c>
      <c r="G75" s="208" t="s">
        <v>209</v>
      </c>
      <c r="H75" s="208" t="s">
        <v>397</v>
      </c>
      <c r="I75" s="248" t="s">
        <v>210</v>
      </c>
      <c r="J75" s="249" t="s">
        <v>56</v>
      </c>
      <c r="K75" s="208" t="s">
        <v>35</v>
      </c>
      <c r="L75" s="208" t="s">
        <v>209</v>
      </c>
      <c r="M75" s="209" t="s">
        <v>399</v>
      </c>
      <c r="N75" s="249" t="s">
        <v>56</v>
      </c>
      <c r="O75" s="208" t="s">
        <v>35</v>
      </c>
      <c r="P75" s="208" t="s">
        <v>209</v>
      </c>
      <c r="Q75" s="208" t="s">
        <v>397</v>
      </c>
      <c r="R75" s="207" t="s">
        <v>56</v>
      </c>
      <c r="S75" s="208" t="s">
        <v>35</v>
      </c>
      <c r="T75" s="208" t="s">
        <v>211</v>
      </c>
      <c r="U75" s="209" t="s">
        <v>34</v>
      </c>
      <c r="V75" s="117" t="s">
        <v>398</v>
      </c>
      <c r="W75" s="117" t="s">
        <v>63</v>
      </c>
      <c r="X75" s="117" t="s">
        <v>20</v>
      </c>
    </row>
    <row r="76" spans="1:24" x14ac:dyDescent="0.25">
      <c r="A76" s="210">
        <v>1</v>
      </c>
      <c r="B76" s="211" t="s">
        <v>55</v>
      </c>
      <c r="C76" s="210">
        <v>1.27</v>
      </c>
      <c r="D76" s="212">
        <v>0.125</v>
      </c>
      <c r="E76" s="250">
        <v>0.125</v>
      </c>
      <c r="F76" s="255">
        <f>2*(E76+D76)</f>
        <v>0.5</v>
      </c>
      <c r="G76" s="251">
        <f>(D76*E76*4)/(D76*2+E76*2)</f>
        <v>0.125</v>
      </c>
      <c r="H76" s="136">
        <v>1.1000000000000001</v>
      </c>
      <c r="I76" s="252">
        <v>2E-3</v>
      </c>
      <c r="J76" s="212">
        <v>0.17499999999999999</v>
      </c>
      <c r="K76" s="213">
        <v>0.17499999999999999</v>
      </c>
      <c r="L76" s="217">
        <f>(J76*K76*4)/(J76*2+K76*2)</f>
        <v>0.17499999999999999</v>
      </c>
      <c r="M76" s="216">
        <v>1.1000000000000001</v>
      </c>
      <c r="N76" s="238">
        <v>0.17499999999999999</v>
      </c>
      <c r="O76" s="213">
        <v>0.17499999999999999</v>
      </c>
      <c r="P76" s="217">
        <f>(N76*O76*4)/(N76*2+O76*2)</f>
        <v>0.17499999999999999</v>
      </c>
      <c r="Q76" s="256">
        <v>0.41</v>
      </c>
      <c r="R76" s="235">
        <v>0.17499999999999999</v>
      </c>
      <c r="S76" s="217">
        <v>0.18</v>
      </c>
      <c r="T76" s="217">
        <f>(R76*S76*4)/(R76*2+S76*2)</f>
        <v>0.17746478873239438</v>
      </c>
      <c r="U76" s="218">
        <v>1.27</v>
      </c>
      <c r="V76" s="88">
        <f t="shared" ref="V76:V86" si="20">(C76*(((G76/(2*H76)*LN(L76/G76))+(G76/(2*M76)*LN(P76/L76))))+(U76*(G76/(2*Q76)*LN(T76/P76))))</f>
        <v>2.6987233044259627E-2</v>
      </c>
      <c r="W76" s="88">
        <f>D76*E76</f>
        <v>1.5625E-2</v>
      </c>
      <c r="X76" s="14">
        <f t="shared" ref="X76:X86" si="21">VLOOKUP(I76,Lamdafrau_glatt_hoch.67,2,FALSE)</f>
        <v>1.26</v>
      </c>
    </row>
    <row r="77" spans="1:24" x14ac:dyDescent="0.25">
      <c r="A77" s="219">
        <v>2</v>
      </c>
      <c r="B77" s="220" t="s">
        <v>57</v>
      </c>
      <c r="C77" s="219">
        <v>1.27</v>
      </c>
      <c r="D77" s="221">
        <v>0.15</v>
      </c>
      <c r="E77" s="222">
        <v>0.15</v>
      </c>
      <c r="F77" s="255">
        <f>2*(E77+D77)</f>
        <v>0.6</v>
      </c>
      <c r="G77" s="225">
        <f>(D77*E77*4)/(D77*2+E77*2)</f>
        <v>0.15</v>
      </c>
      <c r="H77" s="18">
        <v>1.1000000000000001</v>
      </c>
      <c r="I77" s="89">
        <v>2E-3</v>
      </c>
      <c r="J77" s="221">
        <v>0.20499999999999999</v>
      </c>
      <c r="K77" s="222">
        <v>0.20499999999999999</v>
      </c>
      <c r="L77" s="225">
        <f>(J77*K77*4)/(J77*2+K77*2)</f>
        <v>0.20499999999999999</v>
      </c>
      <c r="M77" s="224">
        <v>1.1000000000000001</v>
      </c>
      <c r="N77" s="239">
        <v>0.20499999999999999</v>
      </c>
      <c r="O77" s="222">
        <v>0.20499999999999999</v>
      </c>
      <c r="P77" s="225">
        <f>(N77*O77*4)/(N77*2+O77*2)</f>
        <v>0.20499999999999999</v>
      </c>
      <c r="Q77" s="89">
        <v>0.41</v>
      </c>
      <c r="R77" s="236">
        <v>0.20499999999999999</v>
      </c>
      <c r="S77" s="18">
        <v>0.20499999999999999</v>
      </c>
      <c r="T77" s="225">
        <f>(R77*S77*4)/(R77*2+S77*2)</f>
        <v>0.20499999999999999</v>
      </c>
      <c r="U77" s="226">
        <v>1.27</v>
      </c>
      <c r="V77" s="88">
        <f t="shared" si="20"/>
        <v>2.704880795478638E-2</v>
      </c>
      <c r="W77" s="88">
        <f>D77*E77</f>
        <v>2.2499999999999999E-2</v>
      </c>
      <c r="X77" s="14">
        <f t="shared" si="21"/>
        <v>1.26</v>
      </c>
    </row>
    <row r="78" spans="1:24" x14ac:dyDescent="0.25">
      <c r="A78" s="219">
        <v>3</v>
      </c>
      <c r="B78" s="220" t="s">
        <v>58</v>
      </c>
      <c r="C78" s="219">
        <v>1.27</v>
      </c>
      <c r="D78" s="221">
        <v>0.18</v>
      </c>
      <c r="E78" s="222">
        <v>0.18</v>
      </c>
      <c r="F78" s="255">
        <f>2*(E78+D78)</f>
        <v>0.72</v>
      </c>
      <c r="G78" s="225">
        <f>(D78*E78*4)/(D78*2+E78*2)</f>
        <v>0.18</v>
      </c>
      <c r="H78" s="18">
        <v>1.1000000000000001</v>
      </c>
      <c r="I78" s="89">
        <v>2E-3</v>
      </c>
      <c r="J78" s="221">
        <v>0.216</v>
      </c>
      <c r="K78" s="222">
        <v>0.216</v>
      </c>
      <c r="L78" s="225">
        <f>(J78*K78*4)/(J78*2+K78*2)</f>
        <v>0.216</v>
      </c>
      <c r="M78" s="224">
        <v>1.1000000000000001</v>
      </c>
      <c r="N78" s="239">
        <v>0.216</v>
      </c>
      <c r="O78" s="222">
        <v>0.216</v>
      </c>
      <c r="P78" s="225">
        <f>(N78*O78*4)/(N78*2+O78*2)</f>
        <v>0.216</v>
      </c>
      <c r="Q78" s="89">
        <v>0.41</v>
      </c>
      <c r="R78" s="236">
        <v>0.216</v>
      </c>
      <c r="S78" s="18">
        <v>0.216</v>
      </c>
      <c r="T78" s="225">
        <f>(R78*S78*4)/(R78*2+S78*2)</f>
        <v>0.216</v>
      </c>
      <c r="U78" s="226">
        <v>1.27</v>
      </c>
      <c r="V78" s="88">
        <f t="shared" si="20"/>
        <v>1.8944867219590007E-2</v>
      </c>
      <c r="W78" s="88">
        <f>D78*E78</f>
        <v>3.2399999999999998E-2</v>
      </c>
      <c r="X78" s="14">
        <f t="shared" si="21"/>
        <v>1.26</v>
      </c>
    </row>
    <row r="79" spans="1:24" x14ac:dyDescent="0.25">
      <c r="A79" s="304">
        <v>4</v>
      </c>
      <c r="B79" s="305" t="s">
        <v>59</v>
      </c>
      <c r="C79" s="304">
        <v>1.27</v>
      </c>
      <c r="D79" s="257">
        <v>0.2</v>
      </c>
      <c r="E79" s="222">
        <v>0.2</v>
      </c>
      <c r="F79" s="255">
        <f>2*(E79+D79)</f>
        <v>0.8</v>
      </c>
      <c r="G79" s="225">
        <f>(D79*E79*4)/(D79*2+E79*2)</f>
        <v>0.20000000000000004</v>
      </c>
      <c r="H79" s="18">
        <v>1.1000000000000001</v>
      </c>
      <c r="I79" s="259">
        <v>2E-3</v>
      </c>
      <c r="J79" s="221">
        <v>0.26500000000000001</v>
      </c>
      <c r="K79" s="222">
        <v>0.26500000000000001</v>
      </c>
      <c r="L79" s="225">
        <f>(J79*K79*4)/(J79*2+K79*2)</f>
        <v>0.26500000000000001</v>
      </c>
      <c r="M79" s="224">
        <v>1.1000000000000001</v>
      </c>
      <c r="N79" s="332">
        <f>J79</f>
        <v>0.26500000000000001</v>
      </c>
      <c r="O79" s="306">
        <f>K79</f>
        <v>0.26500000000000001</v>
      </c>
      <c r="P79" s="225">
        <f>(N79*O79*4)/(N79*2+O79*2)</f>
        <v>0.26500000000000001</v>
      </c>
      <c r="Q79" s="259">
        <v>0.41</v>
      </c>
      <c r="R79" s="311">
        <f>N79</f>
        <v>0.26500000000000001</v>
      </c>
      <c r="S79" s="307">
        <f>O79</f>
        <v>0.26500000000000001</v>
      </c>
      <c r="T79" s="225">
        <f>(R79*S79*4)/(R79*2+S79*2)</f>
        <v>0.26500000000000001</v>
      </c>
      <c r="U79" s="331">
        <v>1.27</v>
      </c>
      <c r="V79" s="88">
        <f t="shared" si="20"/>
        <v>3.2490347589681404E-2</v>
      </c>
      <c r="W79" s="88">
        <f>D79*E79</f>
        <v>4.0000000000000008E-2</v>
      </c>
      <c r="X79" s="14">
        <f t="shared" si="21"/>
        <v>1.26</v>
      </c>
    </row>
    <row r="80" spans="1:24" x14ac:dyDescent="0.25">
      <c r="A80" s="304">
        <v>5</v>
      </c>
      <c r="B80" s="305" t="s">
        <v>408</v>
      </c>
      <c r="C80" s="304">
        <v>1.27</v>
      </c>
      <c r="D80" s="257">
        <v>0.25</v>
      </c>
      <c r="E80" s="222">
        <v>0.25</v>
      </c>
      <c r="F80" s="225">
        <f>2*(E80+D80)</f>
        <v>1</v>
      </c>
      <c r="G80" s="225">
        <f>(D80*E80*4)/(D80*2+E80*2)</f>
        <v>0.25</v>
      </c>
      <c r="H80" s="18">
        <v>1.1000000000000001</v>
      </c>
      <c r="I80" s="259">
        <v>2E-3</v>
      </c>
      <c r="J80" s="333">
        <f>D80+0.08</f>
        <v>0.33</v>
      </c>
      <c r="K80" s="334">
        <f>E80+0.08</f>
        <v>0.33</v>
      </c>
      <c r="L80" s="225">
        <f>(J80*K80*4)/(J80*2+K80*2)</f>
        <v>0.33</v>
      </c>
      <c r="M80" s="224">
        <v>1.1000000000000001</v>
      </c>
      <c r="N80" s="335">
        <f>J80</f>
        <v>0.33</v>
      </c>
      <c r="O80" s="336">
        <f>K80</f>
        <v>0.33</v>
      </c>
      <c r="P80" s="225">
        <f>(N80*O80*4)/(N80*2+O80*2)</f>
        <v>0.33</v>
      </c>
      <c r="Q80" s="259">
        <v>0.41</v>
      </c>
      <c r="R80" s="337">
        <f>N80</f>
        <v>0.33</v>
      </c>
      <c r="S80" s="338">
        <f>O80</f>
        <v>0.33</v>
      </c>
      <c r="T80" s="225">
        <f>(R80*S80*4)/(R80*2+S80*2)</f>
        <v>0.33</v>
      </c>
      <c r="U80" s="331">
        <v>1.27</v>
      </c>
      <c r="V80" s="88">
        <f t="shared" si="20"/>
        <v>4.0067307440888073E-2</v>
      </c>
      <c r="W80" s="88">
        <f>D80*E80</f>
        <v>6.25E-2</v>
      </c>
      <c r="X80" s="14">
        <f t="shared" si="21"/>
        <v>1.26</v>
      </c>
    </row>
    <row r="81" spans="1:24" x14ac:dyDescent="0.25">
      <c r="A81" s="304">
        <v>6</v>
      </c>
      <c r="B81" s="305" t="s">
        <v>406</v>
      </c>
      <c r="C81" s="304">
        <v>1</v>
      </c>
      <c r="D81" s="311" t="s">
        <v>36</v>
      </c>
      <c r="E81" s="18" t="s">
        <v>36</v>
      </c>
      <c r="F81" s="223">
        <f>G81*PI()</f>
        <v>0.40840704496667313</v>
      </c>
      <c r="G81" s="225">
        <v>0.13</v>
      </c>
      <c r="H81" s="18">
        <v>60</v>
      </c>
      <c r="I81" s="259">
        <v>1E-3</v>
      </c>
      <c r="J81" s="236" t="s">
        <v>36</v>
      </c>
      <c r="K81" s="18" t="s">
        <v>36</v>
      </c>
      <c r="L81" s="341">
        <v>0.14199999999999999</v>
      </c>
      <c r="M81" s="224">
        <v>4.4999999999999998E-2</v>
      </c>
      <c r="N81" s="309" t="s">
        <v>36</v>
      </c>
      <c r="O81" s="307" t="s">
        <v>36</v>
      </c>
      <c r="P81" s="338">
        <f>L81</f>
        <v>0.14199999999999999</v>
      </c>
      <c r="Q81" s="259">
        <v>60</v>
      </c>
      <c r="R81" s="311" t="s">
        <v>36</v>
      </c>
      <c r="S81" s="307" t="s">
        <v>36</v>
      </c>
      <c r="T81" s="310">
        <f>P81</f>
        <v>0.14199999999999999</v>
      </c>
      <c r="U81" s="339">
        <v>1</v>
      </c>
      <c r="V81" s="88">
        <f t="shared" si="20"/>
        <v>9.5650324407818067E-5</v>
      </c>
      <c r="W81" s="88">
        <f>G81^2*PI()/4</f>
        <v>1.3273228961416878E-2</v>
      </c>
      <c r="X81" s="14">
        <f t="shared" si="21"/>
        <v>1.1499999999999999</v>
      </c>
    </row>
    <row r="82" spans="1:24" x14ac:dyDescent="0.25">
      <c r="A82" s="304">
        <v>7</v>
      </c>
      <c r="B82" s="305" t="s">
        <v>407</v>
      </c>
      <c r="C82" s="304">
        <v>1</v>
      </c>
      <c r="D82" s="311" t="s">
        <v>36</v>
      </c>
      <c r="E82" s="18" t="s">
        <v>36</v>
      </c>
      <c r="F82" s="223">
        <f>G82*PI()</f>
        <v>0.47123889803846897</v>
      </c>
      <c r="G82" s="225">
        <v>0.15</v>
      </c>
      <c r="H82" s="18">
        <v>60</v>
      </c>
      <c r="I82" s="259">
        <v>1E-3</v>
      </c>
      <c r="J82" s="236" t="s">
        <v>36</v>
      </c>
      <c r="K82" s="18" t="s">
        <v>36</v>
      </c>
      <c r="L82" s="341">
        <v>0.16200000000000001</v>
      </c>
      <c r="M82" s="224">
        <v>4.4999999999999998E-2</v>
      </c>
      <c r="N82" s="309" t="s">
        <v>36</v>
      </c>
      <c r="O82" s="307" t="s">
        <v>36</v>
      </c>
      <c r="P82" s="338">
        <f>L82</f>
        <v>0.16200000000000001</v>
      </c>
      <c r="Q82" s="259">
        <v>60</v>
      </c>
      <c r="R82" s="311" t="s">
        <v>36</v>
      </c>
      <c r="S82" s="307" t="s">
        <v>36</v>
      </c>
      <c r="T82" s="310">
        <f>P82</f>
        <v>0.16200000000000001</v>
      </c>
      <c r="U82" s="339">
        <v>1</v>
      </c>
      <c r="V82" s="88">
        <f t="shared" si="20"/>
        <v>9.6201301420160501E-5</v>
      </c>
      <c r="W82" s="88">
        <f>G82^2*PI()/4</f>
        <v>1.7671458676442587E-2</v>
      </c>
      <c r="X82" s="14">
        <f t="shared" si="21"/>
        <v>1.1499999999999999</v>
      </c>
    </row>
    <row r="83" spans="1:24" x14ac:dyDescent="0.25">
      <c r="A83" s="304">
        <v>8</v>
      </c>
      <c r="B83" s="305" t="s">
        <v>409</v>
      </c>
      <c r="C83" s="304">
        <v>1</v>
      </c>
      <c r="D83" s="311" t="s">
        <v>36</v>
      </c>
      <c r="E83" s="18" t="s">
        <v>36</v>
      </c>
      <c r="F83" s="223">
        <f>G83*PI()</f>
        <v>0.56548667764616278</v>
      </c>
      <c r="G83" s="225">
        <v>0.18</v>
      </c>
      <c r="H83" s="18">
        <v>60</v>
      </c>
      <c r="I83" s="259">
        <v>1E-3</v>
      </c>
      <c r="J83" s="236" t="s">
        <v>36</v>
      </c>
      <c r="K83" s="18" t="s">
        <v>36</v>
      </c>
      <c r="L83" s="341">
        <v>0.192</v>
      </c>
      <c r="M83" s="224">
        <v>4.4999999999999998E-2</v>
      </c>
      <c r="N83" s="309" t="s">
        <v>36</v>
      </c>
      <c r="O83" s="307" t="s">
        <v>36</v>
      </c>
      <c r="P83" s="338">
        <f>L83</f>
        <v>0.192</v>
      </c>
      <c r="Q83" s="259">
        <v>60</v>
      </c>
      <c r="R83" s="311" t="s">
        <v>36</v>
      </c>
      <c r="S83" s="307" t="s">
        <v>36</v>
      </c>
      <c r="T83" s="310">
        <f>P83</f>
        <v>0.192</v>
      </c>
      <c r="U83" s="339">
        <v>1</v>
      </c>
      <c r="V83" s="88">
        <f t="shared" si="20"/>
        <v>9.6807781706356746E-5</v>
      </c>
      <c r="W83" s="88">
        <f>G83^2*PI()/4</f>
        <v>2.5446900494077322E-2</v>
      </c>
      <c r="X83" s="14">
        <f t="shared" si="21"/>
        <v>1.1499999999999999</v>
      </c>
    </row>
    <row r="84" spans="1:24" x14ac:dyDescent="0.25">
      <c r="A84" s="304">
        <v>9</v>
      </c>
      <c r="B84" s="305" t="s">
        <v>410</v>
      </c>
      <c r="C84" s="304">
        <v>1</v>
      </c>
      <c r="D84" s="311" t="s">
        <v>36</v>
      </c>
      <c r="E84" s="18" t="s">
        <v>36</v>
      </c>
      <c r="F84" s="223">
        <f>G84*PI()</f>
        <v>0.62831853071795862</v>
      </c>
      <c r="G84" s="225">
        <v>0.2</v>
      </c>
      <c r="H84" s="18">
        <v>60</v>
      </c>
      <c r="I84" s="259">
        <v>1E-3</v>
      </c>
      <c r="J84" s="236" t="s">
        <v>36</v>
      </c>
      <c r="K84" s="18" t="s">
        <v>36</v>
      </c>
      <c r="L84" s="341">
        <v>0.21199999999999999</v>
      </c>
      <c r="M84" s="224">
        <v>4.4999999999999998E-2</v>
      </c>
      <c r="N84" s="309" t="s">
        <v>36</v>
      </c>
      <c r="O84" s="307" t="s">
        <v>36</v>
      </c>
      <c r="P84" s="338">
        <f>L84</f>
        <v>0.21199999999999999</v>
      </c>
      <c r="Q84" s="259">
        <v>60</v>
      </c>
      <c r="R84" s="311" t="s">
        <v>36</v>
      </c>
      <c r="S84" s="307" t="s">
        <v>36</v>
      </c>
      <c r="T84" s="310">
        <f>P84</f>
        <v>0.21199999999999999</v>
      </c>
      <c r="U84" s="339">
        <v>1</v>
      </c>
      <c r="V84" s="88">
        <f t="shared" si="20"/>
        <v>9.7114846873292703E-5</v>
      </c>
      <c r="W84" s="88">
        <f>G84^2*PI()/4</f>
        <v>3.1415926535897934E-2</v>
      </c>
      <c r="X84" s="14">
        <f t="shared" si="21"/>
        <v>1.1499999999999999</v>
      </c>
    </row>
    <row r="85" spans="1:24" ht="14.25" thickBot="1" x14ac:dyDescent="0.3">
      <c r="A85" s="228">
        <v>10</v>
      </c>
      <c r="B85" s="229" t="s">
        <v>411</v>
      </c>
      <c r="C85" s="228">
        <v>1</v>
      </c>
      <c r="D85" s="311" t="s">
        <v>36</v>
      </c>
      <c r="E85" s="135" t="s">
        <v>36</v>
      </c>
      <c r="F85" s="258">
        <f>G85*PI()</f>
        <v>0.78539816339744828</v>
      </c>
      <c r="G85" s="258">
        <v>0.25</v>
      </c>
      <c r="H85" s="135">
        <v>60</v>
      </c>
      <c r="I85" s="259">
        <v>1E-3</v>
      </c>
      <c r="J85" s="237" t="s">
        <v>36</v>
      </c>
      <c r="K85" s="63" t="s">
        <v>36</v>
      </c>
      <c r="L85" s="342">
        <v>0.26200000000000001</v>
      </c>
      <c r="M85" s="233">
        <v>4.4999999999999998E-2</v>
      </c>
      <c r="N85" s="83" t="s">
        <v>36</v>
      </c>
      <c r="O85" s="63" t="s">
        <v>36</v>
      </c>
      <c r="P85" s="342">
        <f>L85</f>
        <v>0.26200000000000001</v>
      </c>
      <c r="Q85" s="260">
        <v>60</v>
      </c>
      <c r="R85" s="237" t="s">
        <v>36</v>
      </c>
      <c r="S85" s="63" t="s">
        <v>36</v>
      </c>
      <c r="T85" s="234">
        <f>P85</f>
        <v>0.26200000000000001</v>
      </c>
      <c r="U85" s="340">
        <v>1</v>
      </c>
      <c r="V85" s="88">
        <f t="shared" si="20"/>
        <v>9.7674137289271789E-5</v>
      </c>
      <c r="W85" s="88">
        <f>G85^2*PI()/4</f>
        <v>4.9087385212340517E-2</v>
      </c>
      <c r="X85" s="14">
        <f t="shared" si="21"/>
        <v>1.1499999999999999</v>
      </c>
    </row>
    <row r="86" spans="1:24" ht="14.25" thickBot="1" x14ac:dyDescent="0.3">
      <c r="A86" s="70">
        <v>11</v>
      </c>
      <c r="B86" s="261" t="s">
        <v>54</v>
      </c>
      <c r="C86" s="262"/>
      <c r="D86" s="263"/>
      <c r="E86" s="264"/>
      <c r="F86" s="122">
        <f>2*(E86+D86)</f>
        <v>0</v>
      </c>
      <c r="G86" s="55" t="e">
        <f>(D86*E86*4)/(D86*2+E86*2)</f>
        <v>#DIV/0!</v>
      </c>
      <c r="H86" s="245"/>
      <c r="I86" s="246"/>
      <c r="J86" s="265"/>
      <c r="K86" s="266"/>
      <c r="L86" s="157" t="e">
        <f>(J86*K86*4)/(J86*2+K86*2)</f>
        <v>#DIV/0!</v>
      </c>
      <c r="M86" s="261"/>
      <c r="N86" s="265"/>
      <c r="O86" s="266"/>
      <c r="P86" s="55" t="e">
        <f>(N86*O86*4)/(N86*2+O86*2)</f>
        <v>#DIV/0!</v>
      </c>
      <c r="Q86" s="261"/>
      <c r="R86" s="267"/>
      <c r="S86" s="268"/>
      <c r="T86" s="55" t="e">
        <f>(R86*S86*4)/(R86*2+S86*2)</f>
        <v>#DIV/0!</v>
      </c>
      <c r="U86" s="261"/>
      <c r="V86" s="88" t="e">
        <f t="shared" si="20"/>
        <v>#DIV/0!</v>
      </c>
      <c r="W86" s="269"/>
      <c r="X86" s="14" t="e">
        <f t="shared" si="21"/>
        <v>#N/A</v>
      </c>
    </row>
    <row r="90" spans="1:24" x14ac:dyDescent="0.25">
      <c r="A90" s="87" t="s">
        <v>212</v>
      </c>
    </row>
    <row r="92" spans="1:24" x14ac:dyDescent="0.25">
      <c r="A92" s="17" t="s">
        <v>60</v>
      </c>
      <c r="B92" s="17" t="s">
        <v>213</v>
      </c>
      <c r="D92" s="14">
        <v>400</v>
      </c>
      <c r="E92" s="14">
        <f>TREND(B93:B94,A93:A94,D92)</f>
        <v>5.7000000000000002E-2</v>
      </c>
    </row>
    <row r="93" spans="1:24" x14ac:dyDescent="0.25">
      <c r="A93" s="18">
        <v>0</v>
      </c>
      <c r="B93" s="18">
        <v>2.3E-2</v>
      </c>
    </row>
    <row r="94" spans="1:24" x14ac:dyDescent="0.25">
      <c r="A94" s="18">
        <v>400</v>
      </c>
      <c r="B94" s="18">
        <v>5.7000000000000002E-2</v>
      </c>
      <c r="D94" s="14" t="s">
        <v>16</v>
      </c>
    </row>
    <row r="97" spans="1:6" x14ac:dyDescent="0.25">
      <c r="A97" s="87" t="s">
        <v>214</v>
      </c>
    </row>
    <row r="99" spans="1:6" x14ac:dyDescent="0.25">
      <c r="A99" s="17" t="s">
        <v>60</v>
      </c>
      <c r="B99" s="17" t="s">
        <v>215</v>
      </c>
      <c r="D99" s="14">
        <v>400</v>
      </c>
      <c r="E99" s="270">
        <f>TREND(B100:B102,A100:A102,D99)</f>
        <v>5.6000000000000006E-5</v>
      </c>
      <c r="F99" s="270"/>
    </row>
    <row r="100" spans="1:6" x14ac:dyDescent="0.25">
      <c r="A100" s="18">
        <v>0</v>
      </c>
      <c r="B100" s="271">
        <v>1.2E-5</v>
      </c>
    </row>
    <row r="101" spans="1:6" x14ac:dyDescent="0.25">
      <c r="A101" s="18">
        <v>200</v>
      </c>
      <c r="B101" s="271">
        <v>3.15E-5</v>
      </c>
    </row>
    <row r="102" spans="1:6" x14ac:dyDescent="0.25">
      <c r="A102" s="18">
        <v>400</v>
      </c>
      <c r="B102" s="272">
        <v>5.7000000000000003E-5</v>
      </c>
      <c r="D102" s="14" t="s">
        <v>16</v>
      </c>
    </row>
    <row r="105" spans="1:6" x14ac:dyDescent="0.25">
      <c r="A105" s="87" t="s">
        <v>400</v>
      </c>
    </row>
    <row r="107" spans="1:6" ht="15" x14ac:dyDescent="0.3">
      <c r="A107" s="17" t="s">
        <v>210</v>
      </c>
      <c r="B107" s="17" t="s">
        <v>412</v>
      </c>
      <c r="E107" s="270"/>
      <c r="F107" s="270"/>
    </row>
    <row r="108" spans="1:6" x14ac:dyDescent="0.25">
      <c r="A108" s="417">
        <v>5.0000000000000001E-4</v>
      </c>
      <c r="B108" s="418">
        <v>1.095</v>
      </c>
      <c r="E108" s="270"/>
      <c r="F108" s="270"/>
    </row>
    <row r="109" spans="1:6" x14ac:dyDescent="0.25">
      <c r="A109" s="387">
        <v>1E-3</v>
      </c>
      <c r="B109" s="341">
        <v>1.1499999999999999</v>
      </c>
    </row>
    <row r="110" spans="1:6" x14ac:dyDescent="0.25">
      <c r="A110" s="387">
        <v>1.5E-3</v>
      </c>
      <c r="B110" s="341">
        <f>((B111-B109)/2)+B109</f>
        <v>1.2050000000000001</v>
      </c>
    </row>
    <row r="111" spans="1:6" x14ac:dyDescent="0.25">
      <c r="A111" s="387">
        <v>2E-3</v>
      </c>
      <c r="B111" s="341">
        <v>1.26</v>
      </c>
    </row>
    <row r="112" spans="1:6" x14ac:dyDescent="0.25">
      <c r="A112" s="387">
        <v>3.0000000000000001E-3</v>
      </c>
      <c r="B112" s="341">
        <v>1.31</v>
      </c>
    </row>
    <row r="113" spans="1:3" x14ac:dyDescent="0.25">
      <c r="A113" s="387">
        <v>4.0000000000000001E-3</v>
      </c>
      <c r="B113" s="341">
        <v>1.36</v>
      </c>
    </row>
    <row r="114" spans="1:3" x14ac:dyDescent="0.25">
      <c r="A114" s="387">
        <v>5.0000000000000001E-3</v>
      </c>
      <c r="B114" s="341">
        <v>1.42</v>
      </c>
    </row>
    <row r="115" spans="1:3" x14ac:dyDescent="0.25">
      <c r="A115" s="387">
        <v>0.01</v>
      </c>
      <c r="B115" s="341">
        <v>1.53</v>
      </c>
    </row>
    <row r="117" spans="1:3" x14ac:dyDescent="0.25">
      <c r="A117" s="87" t="s">
        <v>73</v>
      </c>
    </row>
    <row r="118" spans="1:3" x14ac:dyDescent="0.25">
      <c r="A118" s="17" t="s">
        <v>216</v>
      </c>
      <c r="B118" s="18">
        <v>8</v>
      </c>
      <c r="C118" s="14" t="s">
        <v>74</v>
      </c>
    </row>
    <row r="119" spans="1:3" x14ac:dyDescent="0.25">
      <c r="A119" s="87"/>
      <c r="B119" s="16"/>
    </row>
    <row r="120" spans="1:3" x14ac:dyDescent="0.25">
      <c r="A120" s="87" t="s">
        <v>414</v>
      </c>
      <c r="B120" s="16"/>
    </row>
    <row r="121" spans="1:3" ht="14.25" x14ac:dyDescent="0.3">
      <c r="A121" s="25" t="s">
        <v>415</v>
      </c>
      <c r="B121" s="25">
        <v>0.5</v>
      </c>
    </row>
    <row r="123" spans="1:3" x14ac:dyDescent="0.25">
      <c r="A123" s="87" t="s">
        <v>217</v>
      </c>
    </row>
    <row r="125" spans="1:3" x14ac:dyDescent="0.25">
      <c r="A125" s="17" t="s">
        <v>60</v>
      </c>
      <c r="B125" s="18" t="s">
        <v>78</v>
      </c>
    </row>
    <row r="126" spans="1:3" x14ac:dyDescent="0.25">
      <c r="A126" s="18">
        <v>0</v>
      </c>
      <c r="B126" s="18">
        <v>1056</v>
      </c>
    </row>
    <row r="127" spans="1:3" x14ac:dyDescent="0.25">
      <c r="A127" s="18">
        <v>200</v>
      </c>
      <c r="B127" s="18">
        <v>1056</v>
      </c>
    </row>
    <row r="128" spans="1:3" x14ac:dyDescent="0.25">
      <c r="A128" s="18">
        <v>400</v>
      </c>
      <c r="B128" s="18">
        <v>1104</v>
      </c>
    </row>
    <row r="130" spans="1:5" x14ac:dyDescent="0.25">
      <c r="A130" s="87" t="s">
        <v>218</v>
      </c>
    </row>
    <row r="132" spans="1:5" x14ac:dyDescent="0.25">
      <c r="A132" s="18" t="s">
        <v>90</v>
      </c>
      <c r="B132" s="18" t="s">
        <v>89</v>
      </c>
      <c r="C132" s="273" t="s">
        <v>308</v>
      </c>
    </row>
    <row r="133" spans="1:5" x14ac:dyDescent="0.25">
      <c r="A133" s="18">
        <v>0</v>
      </c>
      <c r="B133" s="18">
        <v>1.5699999999999999E-2</v>
      </c>
      <c r="C133" s="18">
        <v>0.6</v>
      </c>
    </row>
    <row r="134" spans="1:5" x14ac:dyDescent="0.25">
      <c r="A134" s="18">
        <v>6</v>
      </c>
      <c r="B134" s="18">
        <v>2.3599999999999999E-2</v>
      </c>
      <c r="C134" s="18">
        <v>0.6</v>
      </c>
    </row>
    <row r="135" spans="1:5" x14ac:dyDescent="0.25">
      <c r="A135" s="18">
        <v>9</v>
      </c>
      <c r="B135" s="18">
        <v>3.1399999999999997E-2</v>
      </c>
      <c r="C135" s="18">
        <v>0.6</v>
      </c>
    </row>
    <row r="137" spans="1:5" x14ac:dyDescent="0.25">
      <c r="A137" s="87" t="s">
        <v>219</v>
      </c>
    </row>
    <row r="139" spans="1:5" x14ac:dyDescent="0.25">
      <c r="A139" s="18" t="s">
        <v>28</v>
      </c>
      <c r="B139" s="18" t="s">
        <v>106</v>
      </c>
      <c r="C139" s="18" t="s">
        <v>107</v>
      </c>
      <c r="D139" s="18" t="s">
        <v>109</v>
      </c>
      <c r="E139" s="18" t="s">
        <v>108</v>
      </c>
    </row>
    <row r="140" spans="1:5" x14ac:dyDescent="0.25">
      <c r="A140" s="18">
        <v>1</v>
      </c>
      <c r="B140" s="18" t="s">
        <v>178</v>
      </c>
      <c r="C140" s="17" t="str">
        <f>BRENNRAUM!D22</f>
        <v>N</v>
      </c>
      <c r="D140" s="18">
        <f>BRENNRAUM!D16/10000</f>
        <v>0.12959999999999999</v>
      </c>
      <c r="E140" s="18">
        <f>BRENNRAUM!D19</f>
        <v>50</v>
      </c>
    </row>
    <row r="141" spans="1:5" x14ac:dyDescent="0.25">
      <c r="A141" s="18">
        <v>2</v>
      </c>
      <c r="B141" s="18" t="s">
        <v>177</v>
      </c>
      <c r="C141" s="17" t="str">
        <f>'Biofeuerraum 3'!D13</f>
        <v>B</v>
      </c>
      <c r="D141" s="18">
        <f>'Biofeuerraum 3'!D7/10000</f>
        <v>0</v>
      </c>
      <c r="E141" s="18">
        <f>'Biofeuerraum 3'!D10</f>
        <v>0</v>
      </c>
    </row>
    <row r="142" spans="1:5" x14ac:dyDescent="0.25">
      <c r="A142" s="18">
        <v>3</v>
      </c>
      <c r="B142" s="18" t="s">
        <v>90</v>
      </c>
      <c r="C142" s="17" t="str">
        <f>'Biofeuerraum 2'!D13</f>
        <v>B</v>
      </c>
      <c r="D142" s="18">
        <f>'Biofeuerraum 2'!D7/10000</f>
        <v>0</v>
      </c>
      <c r="E142" s="18">
        <f>'Biofeuerraum 2'!D10</f>
        <v>0</v>
      </c>
    </row>
    <row r="143" spans="1:5" x14ac:dyDescent="0.25">
      <c r="A143" s="18"/>
      <c r="B143" s="18"/>
      <c r="C143" s="17"/>
      <c r="D143" s="18"/>
      <c r="E143" s="18"/>
    </row>
    <row r="144" spans="1:5" x14ac:dyDescent="0.25">
      <c r="A144" s="18"/>
      <c r="B144" s="18"/>
      <c r="C144" s="17"/>
      <c r="D144" s="18"/>
      <c r="E144" s="18"/>
    </row>
    <row r="145" spans="1:5" x14ac:dyDescent="0.25">
      <c r="A145" s="18"/>
      <c r="B145" s="18"/>
      <c r="C145" s="17"/>
      <c r="D145" s="18"/>
      <c r="E145" s="18"/>
    </row>
    <row r="148" spans="1:5" x14ac:dyDescent="0.25">
      <c r="A148" s="87" t="s">
        <v>14</v>
      </c>
    </row>
    <row r="150" spans="1:5" x14ac:dyDescent="0.25">
      <c r="A150" s="17" t="s">
        <v>15</v>
      </c>
      <c r="B150" s="17" t="s">
        <v>208</v>
      </c>
    </row>
    <row r="151" spans="1:5" x14ac:dyDescent="0.25">
      <c r="A151" s="17">
        <v>0</v>
      </c>
      <c r="B151" s="345">
        <v>0</v>
      </c>
    </row>
    <row r="152" spans="1:5" x14ac:dyDescent="0.25">
      <c r="A152" s="17">
        <v>1</v>
      </c>
      <c r="B152" s="345">
        <v>0.01</v>
      </c>
      <c r="C152" s="88">
        <f t="shared" ref="C152:C183" si="22">B152-B151</f>
        <v>0.01</v>
      </c>
    </row>
    <row r="153" spans="1:5" x14ac:dyDescent="0.25">
      <c r="A153" s="17">
        <v>2</v>
      </c>
      <c r="B153" s="345">
        <v>0.02</v>
      </c>
      <c r="C153" s="88">
        <f t="shared" si="22"/>
        <v>0.01</v>
      </c>
    </row>
    <row r="154" spans="1:5" x14ac:dyDescent="0.25">
      <c r="A154" s="17">
        <v>3</v>
      </c>
      <c r="B154" s="345">
        <v>0.03</v>
      </c>
      <c r="C154" s="88">
        <f t="shared" si="22"/>
        <v>9.9999999999999985E-3</v>
      </c>
    </row>
    <row r="155" spans="1:5" x14ac:dyDescent="0.25">
      <c r="A155" s="17">
        <v>4</v>
      </c>
      <c r="B155" s="345">
        <v>0.04</v>
      </c>
      <c r="C155" s="88">
        <f t="shared" si="22"/>
        <v>1.0000000000000002E-2</v>
      </c>
    </row>
    <row r="156" spans="1:5" x14ac:dyDescent="0.25">
      <c r="A156" s="17">
        <v>5</v>
      </c>
      <c r="B156" s="345">
        <v>0.05</v>
      </c>
      <c r="C156" s="88">
        <f t="shared" si="22"/>
        <v>1.0000000000000002E-2</v>
      </c>
    </row>
    <row r="157" spans="1:5" x14ac:dyDescent="0.25">
      <c r="A157" s="17">
        <v>6</v>
      </c>
      <c r="B157" s="345">
        <v>0.06</v>
      </c>
      <c r="C157" s="88">
        <f t="shared" si="22"/>
        <v>9.999999999999995E-3</v>
      </c>
    </row>
    <row r="158" spans="1:5" x14ac:dyDescent="0.25">
      <c r="A158" s="17">
        <v>7</v>
      </c>
      <c r="B158" s="345">
        <v>7.0000000000000007E-2</v>
      </c>
      <c r="C158" s="88">
        <f t="shared" si="22"/>
        <v>1.0000000000000009E-2</v>
      </c>
    </row>
    <row r="159" spans="1:5" x14ac:dyDescent="0.25">
      <c r="A159" s="17">
        <v>8</v>
      </c>
      <c r="B159" s="345">
        <v>0.08</v>
      </c>
      <c r="C159" s="88">
        <f t="shared" si="22"/>
        <v>9.999999999999995E-3</v>
      </c>
    </row>
    <row r="160" spans="1:5" x14ac:dyDescent="0.25">
      <c r="A160" s="17">
        <v>9</v>
      </c>
      <c r="B160" s="345">
        <v>0.09</v>
      </c>
      <c r="C160" s="88">
        <f t="shared" si="22"/>
        <v>9.999999999999995E-3</v>
      </c>
    </row>
    <row r="161" spans="1:3" x14ac:dyDescent="0.25">
      <c r="A161" s="17">
        <v>10</v>
      </c>
      <c r="B161" s="345">
        <v>0.1</v>
      </c>
      <c r="C161" s="88">
        <f t="shared" si="22"/>
        <v>1.0000000000000009E-2</v>
      </c>
    </row>
    <row r="162" spans="1:3" x14ac:dyDescent="0.25">
      <c r="A162" s="17">
        <v>11</v>
      </c>
      <c r="B162" s="345">
        <v>0.105</v>
      </c>
      <c r="C162" s="88">
        <f t="shared" si="22"/>
        <v>4.9999999999999906E-3</v>
      </c>
    </row>
    <row r="163" spans="1:3" x14ac:dyDescent="0.25">
      <c r="A163" s="17">
        <v>12</v>
      </c>
      <c r="B163" s="345">
        <v>0.11</v>
      </c>
      <c r="C163" s="88">
        <f t="shared" si="22"/>
        <v>5.0000000000000044E-3</v>
      </c>
    </row>
    <row r="164" spans="1:3" x14ac:dyDescent="0.25">
      <c r="A164" s="17">
        <v>13</v>
      </c>
      <c r="B164" s="345">
        <v>0.115</v>
      </c>
      <c r="C164" s="88">
        <f t="shared" si="22"/>
        <v>5.0000000000000044E-3</v>
      </c>
    </row>
    <row r="165" spans="1:3" x14ac:dyDescent="0.25">
      <c r="A165" s="17">
        <v>14</v>
      </c>
      <c r="B165" s="345">
        <v>0.12</v>
      </c>
      <c r="C165" s="88">
        <f t="shared" si="22"/>
        <v>4.9999999999999906E-3</v>
      </c>
    </row>
    <row r="166" spans="1:3" x14ac:dyDescent="0.25">
      <c r="A166" s="17">
        <v>15</v>
      </c>
      <c r="B166" s="345">
        <v>0.125</v>
      </c>
      <c r="C166" s="88">
        <f t="shared" si="22"/>
        <v>5.0000000000000044E-3</v>
      </c>
    </row>
    <row r="167" spans="1:3" x14ac:dyDescent="0.25">
      <c r="A167" s="17">
        <v>16</v>
      </c>
      <c r="B167" s="345">
        <v>0.13</v>
      </c>
      <c r="C167" s="88">
        <f t="shared" si="22"/>
        <v>5.0000000000000044E-3</v>
      </c>
    </row>
    <row r="168" spans="1:3" x14ac:dyDescent="0.25">
      <c r="A168" s="17">
        <v>17</v>
      </c>
      <c r="B168" s="345">
        <v>0.13500000000000001</v>
      </c>
      <c r="C168" s="88">
        <f t="shared" si="22"/>
        <v>5.0000000000000044E-3</v>
      </c>
    </row>
    <row r="169" spans="1:3" x14ac:dyDescent="0.25">
      <c r="A169" s="17">
        <v>18</v>
      </c>
      <c r="B169" s="345">
        <v>0.14000000000000001</v>
      </c>
      <c r="C169" s="88">
        <f t="shared" si="22"/>
        <v>5.0000000000000044E-3</v>
      </c>
    </row>
    <row r="170" spans="1:3" x14ac:dyDescent="0.25">
      <c r="A170" s="17">
        <v>19</v>
      </c>
      <c r="B170" s="345">
        <v>0.14499999999999999</v>
      </c>
      <c r="C170" s="88">
        <f t="shared" si="22"/>
        <v>4.9999999999999767E-3</v>
      </c>
    </row>
    <row r="171" spans="1:3" x14ac:dyDescent="0.25">
      <c r="A171" s="17">
        <v>20</v>
      </c>
      <c r="B171" s="345">
        <v>0.15</v>
      </c>
      <c r="C171" s="88">
        <f t="shared" si="22"/>
        <v>5.0000000000000044E-3</v>
      </c>
    </row>
    <row r="172" spans="1:3" x14ac:dyDescent="0.25">
      <c r="A172" s="17">
        <v>21</v>
      </c>
      <c r="B172" s="345">
        <v>0.155</v>
      </c>
      <c r="C172" s="88">
        <f t="shared" si="22"/>
        <v>5.0000000000000044E-3</v>
      </c>
    </row>
    <row r="173" spans="1:3" x14ac:dyDescent="0.25">
      <c r="A173" s="17">
        <v>22</v>
      </c>
      <c r="B173" s="345">
        <v>0.16</v>
      </c>
      <c r="C173" s="88">
        <f t="shared" si="22"/>
        <v>5.0000000000000044E-3</v>
      </c>
    </row>
    <row r="174" spans="1:3" x14ac:dyDescent="0.25">
      <c r="A174" s="17">
        <v>23</v>
      </c>
      <c r="B174" s="345">
        <v>0.16500000000000001</v>
      </c>
      <c r="C174" s="88">
        <f t="shared" si="22"/>
        <v>5.0000000000000044E-3</v>
      </c>
    </row>
    <row r="175" spans="1:3" x14ac:dyDescent="0.25">
      <c r="A175" s="17">
        <v>24</v>
      </c>
      <c r="B175" s="345">
        <v>0.17</v>
      </c>
      <c r="C175" s="88">
        <f t="shared" si="22"/>
        <v>5.0000000000000044E-3</v>
      </c>
    </row>
    <row r="176" spans="1:3" x14ac:dyDescent="0.25">
      <c r="A176" s="17">
        <v>25</v>
      </c>
      <c r="B176" s="345">
        <v>0.17499999999999999</v>
      </c>
      <c r="C176" s="88">
        <f t="shared" si="22"/>
        <v>4.9999999999999767E-3</v>
      </c>
    </row>
    <row r="177" spans="1:3" x14ac:dyDescent="0.25">
      <c r="A177" s="17">
        <v>26</v>
      </c>
      <c r="B177" s="345">
        <v>0.18</v>
      </c>
      <c r="C177" s="88">
        <f t="shared" si="22"/>
        <v>5.0000000000000044E-3</v>
      </c>
    </row>
    <row r="178" spans="1:3" x14ac:dyDescent="0.25">
      <c r="A178" s="17">
        <v>27</v>
      </c>
      <c r="B178" s="345">
        <v>0.185</v>
      </c>
      <c r="C178" s="88">
        <f t="shared" si="22"/>
        <v>5.0000000000000044E-3</v>
      </c>
    </row>
    <row r="179" spans="1:3" x14ac:dyDescent="0.25">
      <c r="A179" s="17">
        <v>28</v>
      </c>
      <c r="B179" s="345">
        <v>0.19</v>
      </c>
      <c r="C179" s="88">
        <f t="shared" si="22"/>
        <v>5.0000000000000044E-3</v>
      </c>
    </row>
    <row r="180" spans="1:3" x14ac:dyDescent="0.25">
      <c r="A180" s="17">
        <v>29</v>
      </c>
      <c r="B180" s="345">
        <v>0.19500000000000001</v>
      </c>
      <c r="C180" s="88">
        <f t="shared" si="22"/>
        <v>5.0000000000000044E-3</v>
      </c>
    </row>
    <row r="181" spans="1:3" x14ac:dyDescent="0.25">
      <c r="A181" s="17">
        <v>30</v>
      </c>
      <c r="B181" s="415">
        <v>0.2</v>
      </c>
      <c r="C181" s="88">
        <f t="shared" si="22"/>
        <v>5.0000000000000044E-3</v>
      </c>
    </row>
    <row r="182" spans="1:3" x14ac:dyDescent="0.25">
      <c r="A182" s="17">
        <v>31</v>
      </c>
      <c r="B182" s="345">
        <f t="shared" ref="B182:B195" si="23">B181+(0.2/15)</f>
        <v>0.21333333333333335</v>
      </c>
      <c r="C182" s="88">
        <f t="shared" si="22"/>
        <v>1.3333333333333336E-2</v>
      </c>
    </row>
    <row r="183" spans="1:3" x14ac:dyDescent="0.25">
      <c r="A183" s="17">
        <v>32</v>
      </c>
      <c r="B183" s="345">
        <f t="shared" si="23"/>
        <v>0.22666666666666668</v>
      </c>
      <c r="C183" s="88">
        <f t="shared" si="22"/>
        <v>1.3333333333333336E-2</v>
      </c>
    </row>
    <row r="184" spans="1:3" x14ac:dyDescent="0.25">
      <c r="A184" s="17">
        <v>33</v>
      </c>
      <c r="B184" s="345">
        <f t="shared" si="23"/>
        <v>0.24000000000000002</v>
      </c>
      <c r="C184" s="88">
        <f t="shared" ref="C184:C215" si="24">B184-B183</f>
        <v>1.3333333333333336E-2</v>
      </c>
    </row>
    <row r="185" spans="1:3" x14ac:dyDescent="0.25">
      <c r="A185" s="17">
        <v>34</v>
      </c>
      <c r="B185" s="345">
        <f t="shared" si="23"/>
        <v>0.25333333333333335</v>
      </c>
      <c r="C185" s="88">
        <f t="shared" si="24"/>
        <v>1.3333333333333336E-2</v>
      </c>
    </row>
    <row r="186" spans="1:3" x14ac:dyDescent="0.25">
      <c r="A186" s="17">
        <v>35</v>
      </c>
      <c r="B186" s="345">
        <f t="shared" si="23"/>
        <v>0.26666666666666666</v>
      </c>
      <c r="C186" s="88">
        <f t="shared" si="24"/>
        <v>1.3333333333333308E-2</v>
      </c>
    </row>
    <row r="187" spans="1:3" x14ac:dyDescent="0.25">
      <c r="A187" s="17">
        <v>36</v>
      </c>
      <c r="B187" s="345">
        <f t="shared" si="23"/>
        <v>0.27999999999999997</v>
      </c>
      <c r="C187" s="88">
        <f t="shared" si="24"/>
        <v>1.3333333333333308E-2</v>
      </c>
    </row>
    <row r="188" spans="1:3" x14ac:dyDescent="0.25">
      <c r="A188" s="17">
        <v>37</v>
      </c>
      <c r="B188" s="345">
        <f t="shared" si="23"/>
        <v>0.29333333333333328</v>
      </c>
      <c r="C188" s="88">
        <f t="shared" si="24"/>
        <v>1.3333333333333308E-2</v>
      </c>
    </row>
    <row r="189" spans="1:3" x14ac:dyDescent="0.25">
      <c r="A189" s="17">
        <v>38</v>
      </c>
      <c r="B189" s="345">
        <f t="shared" si="23"/>
        <v>0.30666666666666659</v>
      </c>
      <c r="C189" s="88">
        <f t="shared" si="24"/>
        <v>1.3333333333333308E-2</v>
      </c>
    </row>
    <row r="190" spans="1:3" x14ac:dyDescent="0.25">
      <c r="A190" s="17">
        <v>39</v>
      </c>
      <c r="B190" s="345">
        <f t="shared" si="23"/>
        <v>0.3199999999999999</v>
      </c>
      <c r="C190" s="88">
        <f t="shared" si="24"/>
        <v>1.3333333333333308E-2</v>
      </c>
    </row>
    <row r="191" spans="1:3" x14ac:dyDescent="0.25">
      <c r="A191" s="17">
        <v>40</v>
      </c>
      <c r="B191" s="345">
        <f t="shared" si="23"/>
        <v>0.3333333333333332</v>
      </c>
      <c r="C191" s="88">
        <f t="shared" si="24"/>
        <v>1.3333333333333308E-2</v>
      </c>
    </row>
    <row r="192" spans="1:3" x14ac:dyDescent="0.25">
      <c r="A192" s="17">
        <v>41</v>
      </c>
      <c r="B192" s="345">
        <f t="shared" si="23"/>
        <v>0.34666666666666651</v>
      </c>
      <c r="C192" s="88">
        <f t="shared" si="24"/>
        <v>1.3333333333333308E-2</v>
      </c>
    </row>
    <row r="193" spans="1:3" x14ac:dyDescent="0.25">
      <c r="A193" s="17">
        <v>42</v>
      </c>
      <c r="B193" s="345">
        <f t="shared" si="23"/>
        <v>0.35999999999999982</v>
      </c>
      <c r="C193" s="88">
        <f t="shared" si="24"/>
        <v>1.3333333333333308E-2</v>
      </c>
    </row>
    <row r="194" spans="1:3" x14ac:dyDescent="0.25">
      <c r="A194" s="17">
        <v>43</v>
      </c>
      <c r="B194" s="345">
        <f t="shared" si="23"/>
        <v>0.37333333333333313</v>
      </c>
      <c r="C194" s="88">
        <f t="shared" si="24"/>
        <v>1.3333333333333308E-2</v>
      </c>
    </row>
    <row r="195" spans="1:3" x14ac:dyDescent="0.25">
      <c r="A195" s="17">
        <v>44</v>
      </c>
      <c r="B195" s="345">
        <f t="shared" si="23"/>
        <v>0.38666666666666644</v>
      </c>
      <c r="C195" s="88">
        <f t="shared" si="24"/>
        <v>1.3333333333333308E-2</v>
      </c>
    </row>
    <row r="196" spans="1:3" x14ac:dyDescent="0.25">
      <c r="A196" s="17">
        <v>45</v>
      </c>
      <c r="B196" s="415">
        <v>0.4</v>
      </c>
      <c r="C196" s="88">
        <f t="shared" si="24"/>
        <v>1.3333333333333586E-2</v>
      </c>
    </row>
    <row r="197" spans="1:3" x14ac:dyDescent="0.25">
      <c r="A197" s="17">
        <v>46</v>
      </c>
      <c r="B197" s="345">
        <f t="shared" ref="B197:B210" si="25">B196+(0.4/15)</f>
        <v>0.42666666666666669</v>
      </c>
      <c r="C197" s="88">
        <f t="shared" si="24"/>
        <v>2.6666666666666672E-2</v>
      </c>
    </row>
    <row r="198" spans="1:3" x14ac:dyDescent="0.25">
      <c r="A198" s="17">
        <v>47</v>
      </c>
      <c r="B198" s="345">
        <f t="shared" si="25"/>
        <v>0.45333333333333337</v>
      </c>
      <c r="C198" s="88">
        <f t="shared" si="24"/>
        <v>2.6666666666666672E-2</v>
      </c>
    </row>
    <row r="199" spans="1:3" x14ac:dyDescent="0.25">
      <c r="A199" s="17">
        <v>48</v>
      </c>
      <c r="B199" s="345">
        <f t="shared" si="25"/>
        <v>0.48000000000000004</v>
      </c>
      <c r="C199" s="88">
        <f t="shared" si="24"/>
        <v>2.6666666666666672E-2</v>
      </c>
    </row>
    <row r="200" spans="1:3" x14ac:dyDescent="0.25">
      <c r="A200" s="17">
        <v>49</v>
      </c>
      <c r="B200" s="345">
        <f t="shared" si="25"/>
        <v>0.50666666666666671</v>
      </c>
      <c r="C200" s="88">
        <f t="shared" si="24"/>
        <v>2.6666666666666672E-2</v>
      </c>
    </row>
    <row r="201" spans="1:3" x14ac:dyDescent="0.25">
      <c r="A201" s="17">
        <v>50</v>
      </c>
      <c r="B201" s="345">
        <f t="shared" si="25"/>
        <v>0.53333333333333333</v>
      </c>
      <c r="C201" s="88">
        <f t="shared" si="24"/>
        <v>2.6666666666666616E-2</v>
      </c>
    </row>
    <row r="202" spans="1:3" x14ac:dyDescent="0.25">
      <c r="A202" s="17">
        <v>51</v>
      </c>
      <c r="B202" s="345">
        <f t="shared" si="25"/>
        <v>0.55999999999999994</v>
      </c>
      <c r="C202" s="88">
        <f t="shared" si="24"/>
        <v>2.6666666666666616E-2</v>
      </c>
    </row>
    <row r="203" spans="1:3" x14ac:dyDescent="0.25">
      <c r="A203" s="17">
        <v>52</v>
      </c>
      <c r="B203" s="345">
        <f t="shared" si="25"/>
        <v>0.58666666666666656</v>
      </c>
      <c r="C203" s="88">
        <f t="shared" si="24"/>
        <v>2.6666666666666616E-2</v>
      </c>
    </row>
    <row r="204" spans="1:3" x14ac:dyDescent="0.25">
      <c r="A204" s="17">
        <v>53</v>
      </c>
      <c r="B204" s="345">
        <f t="shared" si="25"/>
        <v>0.61333333333333317</v>
      </c>
      <c r="C204" s="88">
        <f t="shared" si="24"/>
        <v>2.6666666666666616E-2</v>
      </c>
    </row>
    <row r="205" spans="1:3" x14ac:dyDescent="0.25">
      <c r="A205" s="17">
        <v>54</v>
      </c>
      <c r="B205" s="345">
        <f t="shared" si="25"/>
        <v>0.63999999999999979</v>
      </c>
      <c r="C205" s="88">
        <f t="shared" si="24"/>
        <v>2.6666666666666616E-2</v>
      </c>
    </row>
    <row r="206" spans="1:3" x14ac:dyDescent="0.25">
      <c r="A206" s="17">
        <v>55</v>
      </c>
      <c r="B206" s="345">
        <f t="shared" si="25"/>
        <v>0.66666666666666641</v>
      </c>
      <c r="C206" s="88">
        <f t="shared" si="24"/>
        <v>2.6666666666666616E-2</v>
      </c>
    </row>
    <row r="207" spans="1:3" x14ac:dyDescent="0.25">
      <c r="A207" s="17">
        <v>56</v>
      </c>
      <c r="B207" s="345">
        <f t="shared" si="25"/>
        <v>0.69333333333333302</v>
      </c>
      <c r="C207" s="88">
        <f t="shared" si="24"/>
        <v>2.6666666666666616E-2</v>
      </c>
    </row>
    <row r="208" spans="1:3" x14ac:dyDescent="0.25">
      <c r="A208" s="17">
        <v>57</v>
      </c>
      <c r="B208" s="345">
        <f t="shared" si="25"/>
        <v>0.71999999999999964</v>
      </c>
      <c r="C208" s="88">
        <f t="shared" si="24"/>
        <v>2.6666666666666616E-2</v>
      </c>
    </row>
    <row r="209" spans="1:3" x14ac:dyDescent="0.25">
      <c r="A209" s="17">
        <v>58</v>
      </c>
      <c r="B209" s="345">
        <f t="shared" si="25"/>
        <v>0.74666666666666626</v>
      </c>
      <c r="C209" s="88">
        <f t="shared" si="24"/>
        <v>2.6666666666666616E-2</v>
      </c>
    </row>
    <row r="210" spans="1:3" x14ac:dyDescent="0.25">
      <c r="A210" s="17">
        <v>59</v>
      </c>
      <c r="B210" s="345">
        <f t="shared" si="25"/>
        <v>0.77333333333333287</v>
      </c>
      <c r="C210" s="88">
        <f t="shared" si="24"/>
        <v>2.6666666666666616E-2</v>
      </c>
    </row>
    <row r="211" spans="1:3" x14ac:dyDescent="0.25">
      <c r="A211" s="17">
        <v>60</v>
      </c>
      <c r="B211" s="415">
        <v>0.8</v>
      </c>
      <c r="C211" s="88">
        <f t="shared" si="24"/>
        <v>2.6666666666667171E-2</v>
      </c>
    </row>
    <row r="212" spans="1:3" x14ac:dyDescent="0.25">
      <c r="A212" s="17">
        <v>61</v>
      </c>
      <c r="B212" s="345">
        <f t="shared" ref="B212:B240" si="26">B211+(0.4/30)</f>
        <v>0.81333333333333335</v>
      </c>
      <c r="C212" s="88">
        <f t="shared" si="24"/>
        <v>1.3333333333333308E-2</v>
      </c>
    </row>
    <row r="213" spans="1:3" x14ac:dyDescent="0.25">
      <c r="A213" s="17">
        <v>62</v>
      </c>
      <c r="B213" s="345">
        <f t="shared" si="26"/>
        <v>0.82666666666666666</v>
      </c>
      <c r="C213" s="88">
        <f t="shared" si="24"/>
        <v>1.3333333333333308E-2</v>
      </c>
    </row>
    <row r="214" spans="1:3" x14ac:dyDescent="0.25">
      <c r="A214" s="17">
        <v>63</v>
      </c>
      <c r="B214" s="345">
        <f t="shared" si="26"/>
        <v>0.84</v>
      </c>
      <c r="C214" s="88">
        <f t="shared" si="24"/>
        <v>1.3333333333333308E-2</v>
      </c>
    </row>
    <row r="215" spans="1:3" x14ac:dyDescent="0.25">
      <c r="A215" s="17">
        <v>64</v>
      </c>
      <c r="B215" s="345">
        <f t="shared" si="26"/>
        <v>0.85333333333333328</v>
      </c>
      <c r="C215" s="88">
        <f t="shared" si="24"/>
        <v>1.3333333333333308E-2</v>
      </c>
    </row>
    <row r="216" spans="1:3" x14ac:dyDescent="0.25">
      <c r="A216" s="17">
        <v>65</v>
      </c>
      <c r="B216" s="345">
        <f t="shared" si="26"/>
        <v>0.86666666666666659</v>
      </c>
      <c r="C216" s="88">
        <f t="shared" ref="C216:C247" si="27">B216-B215</f>
        <v>1.3333333333333308E-2</v>
      </c>
    </row>
    <row r="217" spans="1:3" x14ac:dyDescent="0.25">
      <c r="A217" s="17">
        <v>66</v>
      </c>
      <c r="B217" s="345">
        <f t="shared" si="26"/>
        <v>0.87999999999999989</v>
      </c>
      <c r="C217" s="88">
        <f t="shared" si="27"/>
        <v>1.3333333333333308E-2</v>
      </c>
    </row>
    <row r="218" spans="1:3" x14ac:dyDescent="0.25">
      <c r="A218" s="17">
        <v>67</v>
      </c>
      <c r="B218" s="345">
        <f t="shared" si="26"/>
        <v>0.8933333333333332</v>
      </c>
      <c r="C218" s="88">
        <f t="shared" si="27"/>
        <v>1.3333333333333308E-2</v>
      </c>
    </row>
    <row r="219" spans="1:3" x14ac:dyDescent="0.25">
      <c r="A219" s="17">
        <v>68</v>
      </c>
      <c r="B219" s="345">
        <f t="shared" si="26"/>
        <v>0.90666666666666651</v>
      </c>
      <c r="C219" s="88">
        <f t="shared" si="27"/>
        <v>1.3333333333333308E-2</v>
      </c>
    </row>
    <row r="220" spans="1:3" x14ac:dyDescent="0.25">
      <c r="A220" s="17">
        <v>69</v>
      </c>
      <c r="B220" s="345">
        <f t="shared" si="26"/>
        <v>0.91999999999999982</v>
      </c>
      <c r="C220" s="88">
        <f t="shared" si="27"/>
        <v>1.3333333333333308E-2</v>
      </c>
    </row>
    <row r="221" spans="1:3" x14ac:dyDescent="0.25">
      <c r="A221" s="17">
        <v>70</v>
      </c>
      <c r="B221" s="345">
        <f t="shared" si="26"/>
        <v>0.93333333333333313</v>
      </c>
      <c r="C221" s="88">
        <f t="shared" si="27"/>
        <v>1.3333333333333308E-2</v>
      </c>
    </row>
    <row r="222" spans="1:3" x14ac:dyDescent="0.25">
      <c r="A222" s="17">
        <v>71</v>
      </c>
      <c r="B222" s="345">
        <f t="shared" si="26"/>
        <v>0.94666666666666643</v>
      </c>
      <c r="C222" s="88">
        <f t="shared" si="27"/>
        <v>1.3333333333333308E-2</v>
      </c>
    </row>
    <row r="223" spans="1:3" x14ac:dyDescent="0.25">
      <c r="A223" s="17">
        <v>72</v>
      </c>
      <c r="B223" s="345">
        <f t="shared" si="26"/>
        <v>0.95999999999999974</v>
      </c>
      <c r="C223" s="88">
        <f t="shared" si="27"/>
        <v>1.3333333333333308E-2</v>
      </c>
    </row>
    <row r="224" spans="1:3" x14ac:dyDescent="0.25">
      <c r="A224" s="17">
        <v>73</v>
      </c>
      <c r="B224" s="345">
        <f t="shared" si="26"/>
        <v>0.97333333333333305</v>
      </c>
      <c r="C224" s="88">
        <f t="shared" si="27"/>
        <v>1.3333333333333308E-2</v>
      </c>
    </row>
    <row r="225" spans="1:3" x14ac:dyDescent="0.25">
      <c r="A225" s="17">
        <v>74</v>
      </c>
      <c r="B225" s="345">
        <f t="shared" si="26"/>
        <v>0.98666666666666636</v>
      </c>
      <c r="C225" s="88">
        <f t="shared" si="27"/>
        <v>1.3333333333333308E-2</v>
      </c>
    </row>
    <row r="226" spans="1:3" x14ac:dyDescent="0.25">
      <c r="A226" s="17">
        <v>75</v>
      </c>
      <c r="B226" s="345">
        <f t="shared" si="26"/>
        <v>0.99999999999999967</v>
      </c>
      <c r="C226" s="88">
        <f t="shared" si="27"/>
        <v>1.3333333333333308E-2</v>
      </c>
    </row>
    <row r="227" spans="1:3" x14ac:dyDescent="0.25">
      <c r="A227" s="17">
        <v>76</v>
      </c>
      <c r="B227" s="345">
        <f t="shared" si="26"/>
        <v>1.013333333333333</v>
      </c>
      <c r="C227" s="88">
        <f t="shared" si="27"/>
        <v>1.3333333333333308E-2</v>
      </c>
    </row>
    <row r="228" spans="1:3" x14ac:dyDescent="0.25">
      <c r="A228" s="17">
        <v>77</v>
      </c>
      <c r="B228" s="345">
        <f t="shared" si="26"/>
        <v>1.0266666666666664</v>
      </c>
      <c r="C228" s="88">
        <f t="shared" si="27"/>
        <v>1.3333333333333419E-2</v>
      </c>
    </row>
    <row r="229" spans="1:3" x14ac:dyDescent="0.25">
      <c r="A229" s="17">
        <v>78</v>
      </c>
      <c r="B229" s="345">
        <f t="shared" si="26"/>
        <v>1.0399999999999998</v>
      </c>
      <c r="C229" s="88">
        <f t="shared" si="27"/>
        <v>1.3333333333333419E-2</v>
      </c>
    </row>
    <row r="230" spans="1:3" x14ac:dyDescent="0.25">
      <c r="A230" s="17">
        <v>79</v>
      </c>
      <c r="B230" s="345">
        <f t="shared" si="26"/>
        <v>1.0533333333333332</v>
      </c>
      <c r="C230" s="88">
        <f t="shared" si="27"/>
        <v>1.3333333333333419E-2</v>
      </c>
    </row>
    <row r="231" spans="1:3" x14ac:dyDescent="0.25">
      <c r="A231" s="17">
        <v>80</v>
      </c>
      <c r="B231" s="345">
        <f t="shared" si="26"/>
        <v>1.0666666666666667</v>
      </c>
      <c r="C231" s="88">
        <f t="shared" si="27"/>
        <v>1.3333333333333419E-2</v>
      </c>
    </row>
    <row r="232" spans="1:3" x14ac:dyDescent="0.25">
      <c r="A232" s="17">
        <v>81</v>
      </c>
      <c r="B232" s="345">
        <f t="shared" si="26"/>
        <v>1.08</v>
      </c>
      <c r="C232" s="88">
        <f t="shared" si="27"/>
        <v>1.3333333333333419E-2</v>
      </c>
    </row>
    <row r="233" spans="1:3" x14ac:dyDescent="0.25">
      <c r="A233" s="17">
        <v>82</v>
      </c>
      <c r="B233" s="345">
        <f t="shared" si="26"/>
        <v>1.0933333333333335</v>
      </c>
      <c r="C233" s="88">
        <f t="shared" si="27"/>
        <v>1.3333333333333419E-2</v>
      </c>
    </row>
    <row r="234" spans="1:3" x14ac:dyDescent="0.25">
      <c r="A234" s="17">
        <v>83</v>
      </c>
      <c r="B234" s="345">
        <f t="shared" si="26"/>
        <v>1.1066666666666669</v>
      </c>
      <c r="C234" s="88">
        <f t="shared" si="27"/>
        <v>1.3333333333333419E-2</v>
      </c>
    </row>
    <row r="235" spans="1:3" x14ac:dyDescent="0.25">
      <c r="A235" s="17">
        <v>84</v>
      </c>
      <c r="B235" s="345">
        <f t="shared" si="26"/>
        <v>1.1200000000000003</v>
      </c>
      <c r="C235" s="88">
        <f t="shared" si="27"/>
        <v>1.3333333333333419E-2</v>
      </c>
    </row>
    <row r="236" spans="1:3" x14ac:dyDescent="0.25">
      <c r="A236" s="17">
        <v>85</v>
      </c>
      <c r="B236" s="345">
        <f t="shared" si="26"/>
        <v>1.1333333333333337</v>
      </c>
      <c r="C236" s="88">
        <f t="shared" si="27"/>
        <v>1.3333333333333419E-2</v>
      </c>
    </row>
    <row r="237" spans="1:3" x14ac:dyDescent="0.25">
      <c r="A237" s="17">
        <v>86</v>
      </c>
      <c r="B237" s="345">
        <f t="shared" si="26"/>
        <v>1.1466666666666672</v>
      </c>
      <c r="C237" s="88">
        <f t="shared" si="27"/>
        <v>1.3333333333333419E-2</v>
      </c>
    </row>
    <row r="238" spans="1:3" x14ac:dyDescent="0.25">
      <c r="A238" s="17">
        <v>87</v>
      </c>
      <c r="B238" s="345">
        <f t="shared" si="26"/>
        <v>1.1600000000000006</v>
      </c>
      <c r="C238" s="88">
        <f t="shared" si="27"/>
        <v>1.3333333333333419E-2</v>
      </c>
    </row>
    <row r="239" spans="1:3" x14ac:dyDescent="0.25">
      <c r="A239" s="17">
        <v>88</v>
      </c>
      <c r="B239" s="345">
        <f t="shared" si="26"/>
        <v>1.173333333333334</v>
      </c>
      <c r="C239" s="88">
        <f t="shared" si="27"/>
        <v>1.3333333333333419E-2</v>
      </c>
    </row>
    <row r="240" spans="1:3" x14ac:dyDescent="0.25">
      <c r="A240" s="17">
        <v>89</v>
      </c>
      <c r="B240" s="345">
        <f t="shared" si="26"/>
        <v>1.1866666666666674</v>
      </c>
      <c r="C240" s="88">
        <f t="shared" si="27"/>
        <v>1.3333333333333419E-2</v>
      </c>
    </row>
    <row r="241" spans="1:3" x14ac:dyDescent="0.25">
      <c r="A241" s="17">
        <v>90</v>
      </c>
      <c r="B241" s="415">
        <v>1.2</v>
      </c>
      <c r="C241" s="88">
        <f t="shared" si="27"/>
        <v>1.3333333333332531E-2</v>
      </c>
    </row>
    <row r="242" spans="1:3" x14ac:dyDescent="0.25">
      <c r="A242" s="17">
        <v>91</v>
      </c>
      <c r="B242" s="345">
        <f t="shared" ref="B242:B250" si="28">B241+(0.13/10)</f>
        <v>1.2129999999999999</v>
      </c>
      <c r="C242" s="88">
        <f t="shared" si="27"/>
        <v>1.2999999999999901E-2</v>
      </c>
    </row>
    <row r="243" spans="1:3" x14ac:dyDescent="0.25">
      <c r="A243" s="17">
        <v>92</v>
      </c>
      <c r="B243" s="345">
        <f t="shared" si="28"/>
        <v>1.2259999999999998</v>
      </c>
      <c r="C243" s="88">
        <f t="shared" si="27"/>
        <v>1.2999999999999901E-2</v>
      </c>
    </row>
    <row r="244" spans="1:3" x14ac:dyDescent="0.25">
      <c r="A244" s="17">
        <v>93</v>
      </c>
      <c r="B244" s="345">
        <f t="shared" si="28"/>
        <v>1.2389999999999997</v>
      </c>
      <c r="C244" s="88">
        <f t="shared" si="27"/>
        <v>1.2999999999999901E-2</v>
      </c>
    </row>
    <row r="245" spans="1:3" x14ac:dyDescent="0.25">
      <c r="A245" s="17">
        <v>94</v>
      </c>
      <c r="B245" s="345">
        <f t="shared" si="28"/>
        <v>1.2519999999999996</v>
      </c>
      <c r="C245" s="88">
        <f t="shared" si="27"/>
        <v>1.2999999999999901E-2</v>
      </c>
    </row>
    <row r="246" spans="1:3" x14ac:dyDescent="0.25">
      <c r="A246" s="17">
        <v>95</v>
      </c>
      <c r="B246" s="345">
        <f t="shared" si="28"/>
        <v>1.2649999999999995</v>
      </c>
      <c r="C246" s="88">
        <f t="shared" si="27"/>
        <v>1.2999999999999901E-2</v>
      </c>
    </row>
    <row r="247" spans="1:3" x14ac:dyDescent="0.25">
      <c r="A247" s="17">
        <v>96</v>
      </c>
      <c r="B247" s="345">
        <f t="shared" si="28"/>
        <v>1.2779999999999994</v>
      </c>
      <c r="C247" s="88">
        <f t="shared" si="27"/>
        <v>1.2999999999999901E-2</v>
      </c>
    </row>
    <row r="248" spans="1:3" x14ac:dyDescent="0.25">
      <c r="A248" s="17">
        <v>97</v>
      </c>
      <c r="B248" s="345">
        <f t="shared" si="28"/>
        <v>1.2909999999999993</v>
      </c>
      <c r="C248" s="88">
        <f t="shared" ref="C248:C271" si="29">B248-B247</f>
        <v>1.2999999999999901E-2</v>
      </c>
    </row>
    <row r="249" spans="1:3" x14ac:dyDescent="0.25">
      <c r="A249" s="17">
        <v>98</v>
      </c>
      <c r="B249" s="345">
        <f t="shared" si="28"/>
        <v>1.3039999999999992</v>
      </c>
      <c r="C249" s="88">
        <f t="shared" si="29"/>
        <v>1.2999999999999901E-2</v>
      </c>
    </row>
    <row r="250" spans="1:3" x14ac:dyDescent="0.25">
      <c r="A250" s="17">
        <v>99</v>
      </c>
      <c r="B250" s="345">
        <f t="shared" si="28"/>
        <v>1.3169999999999991</v>
      </c>
      <c r="C250" s="88">
        <f t="shared" si="29"/>
        <v>1.2999999999999901E-2</v>
      </c>
    </row>
    <row r="251" spans="1:3" x14ac:dyDescent="0.25">
      <c r="A251" s="17">
        <v>100</v>
      </c>
      <c r="B251" s="415">
        <v>1.33</v>
      </c>
      <c r="C251" s="88">
        <f t="shared" si="29"/>
        <v>1.3000000000001011E-2</v>
      </c>
    </row>
    <row r="252" spans="1:3" x14ac:dyDescent="0.25">
      <c r="A252" s="17">
        <v>101</v>
      </c>
      <c r="B252" s="345">
        <f t="shared" ref="B252:B260" si="30">B251+(0.14/10)</f>
        <v>1.3440000000000001</v>
      </c>
      <c r="C252" s="88">
        <f t="shared" si="29"/>
        <v>1.4000000000000012E-2</v>
      </c>
    </row>
    <row r="253" spans="1:3" x14ac:dyDescent="0.25">
      <c r="A253" s="17">
        <v>102</v>
      </c>
      <c r="B253" s="345">
        <f t="shared" si="30"/>
        <v>1.3580000000000001</v>
      </c>
      <c r="C253" s="88">
        <f t="shared" si="29"/>
        <v>1.4000000000000012E-2</v>
      </c>
    </row>
    <row r="254" spans="1:3" x14ac:dyDescent="0.25">
      <c r="A254" s="17">
        <v>103</v>
      </c>
      <c r="B254" s="345">
        <f t="shared" si="30"/>
        <v>1.3720000000000001</v>
      </c>
      <c r="C254" s="88">
        <f t="shared" si="29"/>
        <v>1.4000000000000012E-2</v>
      </c>
    </row>
    <row r="255" spans="1:3" x14ac:dyDescent="0.25">
      <c r="A255" s="17">
        <v>104</v>
      </c>
      <c r="B255" s="345">
        <f t="shared" si="30"/>
        <v>1.3860000000000001</v>
      </c>
      <c r="C255" s="88">
        <f t="shared" si="29"/>
        <v>1.4000000000000012E-2</v>
      </c>
    </row>
    <row r="256" spans="1:3" x14ac:dyDescent="0.25">
      <c r="A256" s="17">
        <v>105</v>
      </c>
      <c r="B256" s="345">
        <f t="shared" si="30"/>
        <v>1.4000000000000001</v>
      </c>
      <c r="C256" s="88">
        <f t="shared" si="29"/>
        <v>1.4000000000000012E-2</v>
      </c>
    </row>
    <row r="257" spans="1:3" x14ac:dyDescent="0.25">
      <c r="A257" s="17">
        <v>106</v>
      </c>
      <c r="B257" s="345">
        <f t="shared" si="30"/>
        <v>1.4140000000000001</v>
      </c>
      <c r="C257" s="88">
        <f t="shared" si="29"/>
        <v>1.4000000000000012E-2</v>
      </c>
    </row>
    <row r="258" spans="1:3" x14ac:dyDescent="0.25">
      <c r="A258" s="17">
        <v>107</v>
      </c>
      <c r="B258" s="345">
        <f t="shared" si="30"/>
        <v>1.4280000000000002</v>
      </c>
      <c r="C258" s="88">
        <f t="shared" si="29"/>
        <v>1.4000000000000012E-2</v>
      </c>
    </row>
    <row r="259" spans="1:3" x14ac:dyDescent="0.25">
      <c r="A259" s="17">
        <v>108</v>
      </c>
      <c r="B259" s="345">
        <f t="shared" si="30"/>
        <v>1.4420000000000002</v>
      </c>
      <c r="C259" s="88">
        <f t="shared" si="29"/>
        <v>1.4000000000000012E-2</v>
      </c>
    </row>
    <row r="260" spans="1:3" x14ac:dyDescent="0.25">
      <c r="A260" s="17">
        <v>109</v>
      </c>
      <c r="B260" s="345">
        <f t="shared" si="30"/>
        <v>1.4560000000000002</v>
      </c>
      <c r="C260" s="88">
        <f t="shared" si="29"/>
        <v>1.4000000000000012E-2</v>
      </c>
    </row>
    <row r="261" spans="1:3" x14ac:dyDescent="0.25">
      <c r="A261" s="17">
        <v>110</v>
      </c>
      <c r="B261" s="415">
        <v>1.47</v>
      </c>
      <c r="C261" s="88">
        <f t="shared" si="29"/>
        <v>1.399999999999979E-2</v>
      </c>
    </row>
    <row r="262" spans="1:3" x14ac:dyDescent="0.25">
      <c r="A262" s="17">
        <v>111</v>
      </c>
      <c r="B262" s="345">
        <f t="shared" ref="B262:B270" si="31">B261+(0.13/10)</f>
        <v>1.4829999999999999</v>
      </c>
      <c r="C262" s="88">
        <f t="shared" si="29"/>
        <v>1.2999999999999901E-2</v>
      </c>
    </row>
    <row r="263" spans="1:3" x14ac:dyDescent="0.25">
      <c r="A263" s="17">
        <v>112</v>
      </c>
      <c r="B263" s="345">
        <f t="shared" si="31"/>
        <v>1.4959999999999998</v>
      </c>
      <c r="C263" s="88">
        <f t="shared" si="29"/>
        <v>1.2999999999999901E-2</v>
      </c>
    </row>
    <row r="264" spans="1:3" x14ac:dyDescent="0.25">
      <c r="A264" s="17">
        <v>113</v>
      </c>
      <c r="B264" s="345">
        <f t="shared" si="31"/>
        <v>1.5089999999999997</v>
      </c>
      <c r="C264" s="88">
        <f t="shared" si="29"/>
        <v>1.2999999999999901E-2</v>
      </c>
    </row>
    <row r="265" spans="1:3" x14ac:dyDescent="0.25">
      <c r="A265" s="17">
        <v>114</v>
      </c>
      <c r="B265" s="345">
        <f t="shared" si="31"/>
        <v>1.5219999999999996</v>
      </c>
      <c r="C265" s="88">
        <f t="shared" si="29"/>
        <v>1.2999999999999901E-2</v>
      </c>
    </row>
    <row r="266" spans="1:3" x14ac:dyDescent="0.25">
      <c r="A266" s="17">
        <v>115</v>
      </c>
      <c r="B266" s="345">
        <f t="shared" si="31"/>
        <v>1.5349999999999995</v>
      </c>
      <c r="C266" s="88">
        <f t="shared" si="29"/>
        <v>1.2999999999999901E-2</v>
      </c>
    </row>
    <row r="267" spans="1:3" x14ac:dyDescent="0.25">
      <c r="A267" s="17">
        <v>116</v>
      </c>
      <c r="B267" s="345">
        <f t="shared" si="31"/>
        <v>1.5479999999999994</v>
      </c>
      <c r="C267" s="88">
        <f t="shared" si="29"/>
        <v>1.2999999999999901E-2</v>
      </c>
    </row>
    <row r="268" spans="1:3" x14ac:dyDescent="0.25">
      <c r="A268" s="17">
        <v>117</v>
      </c>
      <c r="B268" s="345">
        <f t="shared" si="31"/>
        <v>1.5609999999999993</v>
      </c>
      <c r="C268" s="88">
        <f t="shared" si="29"/>
        <v>1.2999999999999901E-2</v>
      </c>
    </row>
    <row r="269" spans="1:3" x14ac:dyDescent="0.25">
      <c r="A269" s="17">
        <v>118</v>
      </c>
      <c r="B269" s="345">
        <f t="shared" si="31"/>
        <v>1.5739999999999992</v>
      </c>
      <c r="C269" s="88">
        <f t="shared" si="29"/>
        <v>1.2999999999999901E-2</v>
      </c>
    </row>
    <row r="270" spans="1:3" x14ac:dyDescent="0.25">
      <c r="A270" s="17">
        <v>119</v>
      </c>
      <c r="B270" s="345">
        <f t="shared" si="31"/>
        <v>1.5869999999999991</v>
      </c>
      <c r="C270" s="88">
        <f t="shared" si="29"/>
        <v>1.2999999999999901E-2</v>
      </c>
    </row>
    <row r="271" spans="1:3" x14ac:dyDescent="0.25">
      <c r="A271" s="17">
        <v>120</v>
      </c>
      <c r="B271" s="345">
        <v>1.6</v>
      </c>
      <c r="C271" s="88">
        <f t="shared" si="29"/>
        <v>1.3000000000001011E-2</v>
      </c>
    </row>
    <row r="277" spans="1:1" x14ac:dyDescent="0.25">
      <c r="A277" s="121"/>
    </row>
    <row r="278" spans="1:1" x14ac:dyDescent="0.25">
      <c r="A278" s="121"/>
    </row>
  </sheetData>
  <sheetProtection password="CA0F" sheet="1" formatCells="0" formatColumns="0" formatRows="0" insertColumns="0" insertRows="0" insertHyperlinks="0" deleteColumns="0" deleteRows="0" sort="0" autoFilter="0" pivotTables="0"/>
  <dataConsolid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18</vt:i4>
      </vt:variant>
    </vt:vector>
  </HeadingPairs>
  <TitlesOfParts>
    <vt:vector size="26" baseType="lpstr">
      <vt:lpstr>Heizanleitung</vt:lpstr>
      <vt:lpstr>Berechnung</vt:lpstr>
      <vt:lpstr>BRENNRAUM</vt:lpstr>
      <vt:lpstr>Biofeuerraum 3</vt:lpstr>
      <vt:lpstr>Biofeuerraum 2</vt:lpstr>
      <vt:lpstr>Verbindungsstück</vt:lpstr>
      <vt:lpstr>Schornstein</vt:lpstr>
      <vt:lpstr>Konstante</vt:lpstr>
      <vt:lpstr>Biofeuerraum_2</vt:lpstr>
      <vt:lpstr>Brennräume</vt:lpstr>
      <vt:lpstr>Brennraumformate</vt:lpstr>
      <vt:lpstr>Berechnung!Druckbereich</vt:lpstr>
      <vt:lpstr>'Biofeuerraum 2'!Druckbereich</vt:lpstr>
      <vt:lpstr>'Biofeuerraum 3'!Druckbereich</vt:lpstr>
      <vt:lpstr>BRENNRAUM!Druckbereich</vt:lpstr>
      <vt:lpstr>Heizanleitung!Druckbereich</vt:lpstr>
      <vt:lpstr>Heizanleitung!Drucktitel</vt:lpstr>
      <vt:lpstr>Lamdafrau_glatt_hoch.67</vt:lpstr>
      <vt:lpstr>LetzterZug</vt:lpstr>
      <vt:lpstr>Liste1</vt:lpstr>
      <vt:lpstr>Liste2</vt:lpstr>
      <vt:lpstr>Poterieformat</vt:lpstr>
      <vt:lpstr>Schornstein</vt:lpstr>
      <vt:lpstr>Schornsteinformat</vt:lpstr>
      <vt:lpstr>Verbindungsstück</vt:lpstr>
      <vt:lpstr>zQuerschnitt</vt:lpstr>
    </vt:vector>
  </TitlesOfParts>
  <Company>RATH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HaselbRu</dc:creator>
  <cp:lastModifiedBy>jzekic</cp:lastModifiedBy>
  <cp:lastPrinted>2008-02-25T09:25:52Z</cp:lastPrinted>
  <dcterms:created xsi:type="dcterms:W3CDTF">1999-05-31T13:44:58Z</dcterms:created>
  <dcterms:modified xsi:type="dcterms:W3CDTF">2017-04-19T08:05:59Z</dcterms:modified>
</cp:coreProperties>
</file>